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5600" windowHeight="7395"/>
  </bookViews>
  <sheets>
    <sheet name="Sheet4" sheetId="4" r:id="rId1"/>
  </sheets>
  <calcPr calcId="144525"/>
</workbook>
</file>

<file path=xl/calcChain.xml><?xml version="1.0" encoding="utf-8"?>
<calcChain xmlns="http://schemas.openxmlformats.org/spreadsheetml/2006/main">
  <c r="M9" i="4"/>
  <c r="X22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J8"/>
  <c r="AI8"/>
  <c r="AH8"/>
  <c r="AG8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N187"/>
  <c r="AM207"/>
  <c r="AM179"/>
  <c r="AM151"/>
  <c r="AM123"/>
  <c r="AM95"/>
  <c r="AM67"/>
  <c r="AC22"/>
  <c r="AL207" s="1"/>
  <c r="AM214"/>
  <c r="AM213"/>
  <c r="AM212"/>
  <c r="AM211"/>
  <c r="AM210"/>
  <c r="AM209"/>
  <c r="AM208"/>
  <c r="AM206"/>
  <c r="AM205"/>
  <c r="AM204"/>
  <c r="AM203"/>
  <c r="AM202"/>
  <c r="AM201"/>
  <c r="AM200"/>
  <c r="AM199"/>
  <c r="AM198"/>
  <c r="AM197"/>
  <c r="AM196"/>
  <c r="AX216" s="1"/>
  <c r="AM195"/>
  <c r="AM194"/>
  <c r="AM193"/>
  <c r="AM186"/>
  <c r="AM185"/>
  <c r="AM184"/>
  <c r="AM183"/>
  <c r="AM182"/>
  <c r="AM181"/>
  <c r="AM180"/>
  <c r="AM178"/>
  <c r="AM177"/>
  <c r="AM176"/>
  <c r="AM175"/>
  <c r="AM174"/>
  <c r="AM173"/>
  <c r="AM172"/>
  <c r="AM171"/>
  <c r="AM170"/>
  <c r="AM169"/>
  <c r="AM168"/>
  <c r="AM167"/>
  <c r="AM166"/>
  <c r="AM165"/>
  <c r="AV188" s="1"/>
  <c r="AM158"/>
  <c r="AM157"/>
  <c r="AM156"/>
  <c r="AM155"/>
  <c r="AM154"/>
  <c r="AM153"/>
  <c r="AM152"/>
  <c r="AM150"/>
  <c r="AM149"/>
  <c r="AM148"/>
  <c r="AM147"/>
  <c r="AM146"/>
  <c r="AM145"/>
  <c r="AM144"/>
  <c r="AM143"/>
  <c r="AM142"/>
  <c r="AM141"/>
  <c r="AM140"/>
  <c r="AM139"/>
  <c r="AM138"/>
  <c r="AM137"/>
  <c r="AY215"/>
  <c r="AX215"/>
  <c r="AW215"/>
  <c r="AV215"/>
  <c r="AU215"/>
  <c r="AT215"/>
  <c r="AS215"/>
  <c r="AR215"/>
  <c r="AQ215"/>
  <c r="AP215"/>
  <c r="AO215"/>
  <c r="AN215"/>
  <c r="AY187"/>
  <c r="AX187"/>
  <c r="AW187"/>
  <c r="AV187"/>
  <c r="AU187"/>
  <c r="AT187"/>
  <c r="AS187"/>
  <c r="AR187"/>
  <c r="AQ187"/>
  <c r="AP187"/>
  <c r="AO187"/>
  <c r="AY159"/>
  <c r="AX159"/>
  <c r="AW159"/>
  <c r="AV159"/>
  <c r="AU159"/>
  <c r="AT159"/>
  <c r="AS159"/>
  <c r="AR159"/>
  <c r="AQ159"/>
  <c r="AP159"/>
  <c r="AO159"/>
  <c r="AN159"/>
  <c r="AM130"/>
  <c r="AM129"/>
  <c r="AM128"/>
  <c r="AM127"/>
  <c r="AM126"/>
  <c r="AM125"/>
  <c r="AM124"/>
  <c r="AM122"/>
  <c r="AM121"/>
  <c r="AM120"/>
  <c r="AM119"/>
  <c r="AM118"/>
  <c r="AM117"/>
  <c r="AM116"/>
  <c r="AM115"/>
  <c r="AM114"/>
  <c r="AM113"/>
  <c r="AM112"/>
  <c r="AM111"/>
  <c r="AM110"/>
  <c r="AM109"/>
  <c r="AY131"/>
  <c r="AX131"/>
  <c r="AW131"/>
  <c r="AV131"/>
  <c r="AU131"/>
  <c r="AT131"/>
  <c r="AS131"/>
  <c r="AR131"/>
  <c r="AQ131"/>
  <c r="AP131"/>
  <c r="AO131"/>
  <c r="AN131"/>
  <c r="AY103"/>
  <c r="AX103"/>
  <c r="AW103"/>
  <c r="AV103"/>
  <c r="AU103"/>
  <c r="AT103"/>
  <c r="AS103"/>
  <c r="AR103"/>
  <c r="AQ103"/>
  <c r="AP103"/>
  <c r="AO103"/>
  <c r="AN103"/>
  <c r="AY75"/>
  <c r="AX75"/>
  <c r="AW75"/>
  <c r="AV75"/>
  <c r="AU75"/>
  <c r="AT75"/>
  <c r="AS75"/>
  <c r="AR75"/>
  <c r="AQ75"/>
  <c r="AP75"/>
  <c r="AO75"/>
  <c r="AN75"/>
  <c r="AM102"/>
  <c r="AM101"/>
  <c r="AM100"/>
  <c r="AM99"/>
  <c r="AM98"/>
  <c r="AM97"/>
  <c r="AM96"/>
  <c r="AM94"/>
  <c r="AM93"/>
  <c r="AM92"/>
  <c r="AM91"/>
  <c r="AM90"/>
  <c r="AM89"/>
  <c r="AM88"/>
  <c r="AM87"/>
  <c r="AM86"/>
  <c r="AM85"/>
  <c r="AM84"/>
  <c r="AM83"/>
  <c r="AM82"/>
  <c r="AM81"/>
  <c r="AN104" s="1"/>
  <c r="AM74"/>
  <c r="AM73"/>
  <c r="AM72"/>
  <c r="AM71"/>
  <c r="AM70"/>
  <c r="AM69"/>
  <c r="AM68"/>
  <c r="AM66"/>
  <c r="AM65"/>
  <c r="AM64"/>
  <c r="AM63"/>
  <c r="AM62"/>
  <c r="AM61"/>
  <c r="AM60"/>
  <c r="AM59"/>
  <c r="AM58"/>
  <c r="AM57"/>
  <c r="AM56"/>
  <c r="AM55"/>
  <c r="AM54"/>
  <c r="AM53"/>
  <c r="AV76" s="1"/>
  <c r="AC29"/>
  <c r="AL214"/>
  <c r="AC28"/>
  <c r="AC27"/>
  <c r="AC26"/>
  <c r="AL211" s="1"/>
  <c r="AC25"/>
  <c r="AL210"/>
  <c r="AC24"/>
  <c r="AL209" s="1"/>
  <c r="AC23"/>
  <c r="AL180" s="1"/>
  <c r="AL208"/>
  <c r="AC21"/>
  <c r="AC20"/>
  <c r="AL205"/>
  <c r="AC19"/>
  <c r="AC18"/>
  <c r="AL63" s="1"/>
  <c r="AC17"/>
  <c r="AL202" s="1"/>
  <c r="AC16"/>
  <c r="AL201"/>
  <c r="AC15"/>
  <c r="AL200" s="1"/>
  <c r="AC14"/>
  <c r="AL115" s="1"/>
  <c r="AL199"/>
  <c r="AC13"/>
  <c r="AC12"/>
  <c r="AL197"/>
  <c r="AC11"/>
  <c r="AC10"/>
  <c r="AC9"/>
  <c r="AL194" s="1"/>
  <c r="M158"/>
  <c r="M58" s="1"/>
  <c r="AF71"/>
  <c r="AF45" s="1"/>
  <c r="AC8"/>
  <c r="AL193" s="1"/>
  <c r="M12"/>
  <c r="O65" s="1"/>
  <c r="X16"/>
  <c r="X17"/>
  <c r="X18"/>
  <c r="V19"/>
  <c r="N23"/>
  <c r="N25" s="1"/>
  <c r="D19" s="1"/>
  <c r="D34"/>
  <c r="X7" s="1"/>
  <c r="X10" s="1"/>
  <c r="D43" s="1"/>
  <c r="M33"/>
  <c r="P118" s="1"/>
  <c r="L119" s="1"/>
  <c r="M120" s="1"/>
  <c r="M35"/>
  <c r="X39"/>
  <c r="D46" s="1"/>
  <c r="V44"/>
  <c r="X46" s="1"/>
  <c r="D47" s="1"/>
  <c r="P44"/>
  <c r="N45"/>
  <c r="W50"/>
  <c r="V61" s="1"/>
  <c r="D50"/>
  <c r="Y52"/>
  <c r="Y54"/>
  <c r="D56"/>
  <c r="Y63"/>
  <c r="AE71"/>
  <c r="AE45" s="1"/>
  <c r="AG71"/>
  <c r="AG45" s="1"/>
  <c r="AH71"/>
  <c r="AH45" s="1"/>
  <c r="AI71"/>
  <c r="AI45" s="1"/>
  <c r="AJ71"/>
  <c r="AJ45" s="1"/>
  <c r="M75"/>
  <c r="N67"/>
  <c r="N73"/>
  <c r="P74"/>
  <c r="V84"/>
  <c r="W86" s="1"/>
  <c r="D57" s="1"/>
  <c r="O82"/>
  <c r="O84" s="1"/>
  <c r="K92"/>
  <c r="N94"/>
  <c r="X97"/>
  <c r="X28" s="1"/>
  <c r="X31" s="1"/>
  <c r="D45" s="1"/>
  <c r="X104"/>
  <c r="X29" s="1"/>
  <c r="M122"/>
  <c r="M136"/>
  <c r="M52" s="1"/>
  <c r="M143"/>
  <c r="M53" s="1"/>
  <c r="M150"/>
  <c r="M57" s="1"/>
  <c r="AL110"/>
  <c r="AL114"/>
  <c r="AL127"/>
  <c r="AL109"/>
  <c r="AL113"/>
  <c r="AL121"/>
  <c r="AL126"/>
  <c r="AL130"/>
  <c r="AO76"/>
  <c r="AL60"/>
  <c r="AL64"/>
  <c r="AL69"/>
  <c r="AL81"/>
  <c r="AL83"/>
  <c r="AL87"/>
  <c r="AL96"/>
  <c r="AR188"/>
  <c r="AR160"/>
  <c r="AL71"/>
  <c r="AL66"/>
  <c r="AL54"/>
  <c r="AR132"/>
  <c r="AL125"/>
  <c r="AL120"/>
  <c r="AL116"/>
  <c r="Y55"/>
  <c r="Y65" s="1"/>
  <c r="Y67" s="1"/>
  <c r="D49" s="1"/>
  <c r="AL53"/>
  <c r="AL82"/>
  <c r="AL55"/>
  <c r="AL84"/>
  <c r="AL57"/>
  <c r="AL59"/>
  <c r="AL88"/>
  <c r="AL90"/>
  <c r="AL92"/>
  <c r="AL65"/>
  <c r="AL68"/>
  <c r="AL97"/>
  <c r="AL99"/>
  <c r="AL72"/>
  <c r="AL74"/>
  <c r="AL138"/>
  <c r="AL140"/>
  <c r="AL142"/>
  <c r="AL144"/>
  <c r="AL146"/>
  <c r="AL148"/>
  <c r="AL153"/>
  <c r="AL155"/>
  <c r="AL157"/>
  <c r="AL166"/>
  <c r="AL172"/>
  <c r="AL174"/>
  <c r="AL181"/>
  <c r="AL183"/>
  <c r="AL137"/>
  <c r="AL141"/>
  <c r="AL149"/>
  <c r="AL154"/>
  <c r="AL158"/>
  <c r="AL165"/>
  <c r="AL171"/>
  <c r="AL179"/>
  <c r="AL123"/>
  <c r="AL186"/>
  <c r="AL177"/>
  <c r="AL173"/>
  <c r="AL169"/>
  <c r="AL152"/>
  <c r="AL147"/>
  <c r="AL143"/>
  <c r="AX104"/>
  <c r="AP188"/>
  <c r="AO160"/>
  <c r="AP216"/>
  <c r="AL102"/>
  <c r="AL98"/>
  <c r="AL93"/>
  <c r="AL89"/>
  <c r="AL85"/>
  <c r="AN76"/>
  <c r="AL124"/>
  <c r="AL119"/>
  <c r="AL111"/>
  <c r="M104"/>
  <c r="M106"/>
  <c r="D27" s="1"/>
  <c r="AP76"/>
  <c r="M14"/>
  <c r="Y57"/>
  <c r="D48" s="1"/>
  <c r="AL212" l="1"/>
  <c r="AL156"/>
  <c r="AL184"/>
  <c r="AU188"/>
  <c r="AS188"/>
  <c r="AU216"/>
  <c r="AY216"/>
  <c r="AN216"/>
  <c r="AR216"/>
  <c r="AT216"/>
  <c r="AS216"/>
  <c r="AR76"/>
  <c r="AQ76"/>
  <c r="AU76"/>
  <c r="AS76"/>
  <c r="AQ132"/>
  <c r="AV132"/>
  <c r="AQ160"/>
  <c r="AW160"/>
  <c r="AN160"/>
  <c r="AY160"/>
  <c r="AX76"/>
  <c r="AT132"/>
  <c r="AL213"/>
  <c r="AL73"/>
  <c r="AL185"/>
  <c r="AL129"/>
  <c r="AL128"/>
  <c r="AW104"/>
  <c r="AP160"/>
  <c r="AV160"/>
  <c r="AW216"/>
  <c r="AS132"/>
  <c r="AW76"/>
  <c r="AQ104"/>
  <c r="AV216"/>
  <c r="AQ216"/>
  <c r="AY132"/>
  <c r="AL195"/>
  <c r="AL139"/>
  <c r="AL167"/>
  <c r="AL198"/>
  <c r="AL58"/>
  <c r="AL86"/>
  <c r="AL170"/>
  <c r="AL204"/>
  <c r="AL176"/>
  <c r="AL70"/>
  <c r="AL182"/>
  <c r="AW132"/>
  <c r="AW188"/>
  <c r="AO188"/>
  <c r="AQ188"/>
  <c r="AT188"/>
  <c r="AX188"/>
  <c r="AY76"/>
  <c r="AT76"/>
  <c r="AO132"/>
  <c r="AL203"/>
  <c r="AL91"/>
  <c r="AL206"/>
  <c r="AL122"/>
  <c r="AL94"/>
  <c r="AL178"/>
  <c r="AT104"/>
  <c r="AP104"/>
  <c r="AR104"/>
  <c r="AY104"/>
  <c r="AU104"/>
  <c r="AX132"/>
  <c r="AU160"/>
  <c r="AP132"/>
  <c r="AS104"/>
  <c r="AS160"/>
  <c r="AO216"/>
  <c r="AV104"/>
  <c r="AN188"/>
  <c r="AL175"/>
  <c r="AL150"/>
  <c r="AL101"/>
  <c r="AX160"/>
  <c r="AY188"/>
  <c r="AT160"/>
  <c r="AL100"/>
  <c r="AO104"/>
  <c r="AL196"/>
  <c r="AL56"/>
  <c r="AL168"/>
  <c r="AL112"/>
  <c r="AL61"/>
  <c r="AL145"/>
  <c r="AL117"/>
  <c r="M16"/>
  <c r="D18" s="1"/>
  <c r="M124"/>
  <c r="D35" s="1"/>
  <c r="AH36"/>
  <c r="M54"/>
  <c r="M55" s="1"/>
  <c r="M60" s="1"/>
  <c r="D22" s="1"/>
  <c r="AU132"/>
  <c r="AL67"/>
  <c r="AN132"/>
  <c r="AL151"/>
  <c r="AL62"/>
  <c r="AL95"/>
  <c r="AL118"/>
  <c r="AG37"/>
  <c r="AG41"/>
  <c r="AH41"/>
  <c r="AG33"/>
  <c r="AG38"/>
  <c r="AH38"/>
  <c r="AH42"/>
  <c r="AH33"/>
  <c r="X19"/>
  <c r="W19" s="1"/>
  <c r="AJ30"/>
  <c r="AJ36" s="1"/>
  <c r="AH30"/>
  <c r="AH40" s="1"/>
  <c r="AG30"/>
  <c r="AG39" s="1"/>
  <c r="AI30"/>
  <c r="AI35" s="1"/>
  <c r="AF30"/>
  <c r="AE30"/>
  <c r="AE33" s="1"/>
  <c r="L75"/>
  <c r="M77" s="1"/>
  <c r="D24" s="1"/>
  <c r="L69"/>
  <c r="D23" s="1"/>
  <c r="N96"/>
  <c r="L98" s="1"/>
  <c r="D26" s="1"/>
  <c r="M86"/>
  <c r="M88" s="1"/>
  <c r="D25" s="1"/>
  <c r="AG40" l="1"/>
  <c r="AG36"/>
  <c r="AI41"/>
  <c r="AI37"/>
  <c r="AH35"/>
  <c r="AG42"/>
  <c r="AH37"/>
  <c r="AH34"/>
  <c r="AH39"/>
  <c r="AI39"/>
  <c r="AI33"/>
  <c r="AI40"/>
  <c r="AI36"/>
  <c r="AI42"/>
  <c r="AI38"/>
  <c r="AJ37"/>
  <c r="AJ42"/>
  <c r="AJ38"/>
  <c r="AJ39"/>
  <c r="AJ33"/>
  <c r="AJ40"/>
  <c r="AE35"/>
  <c r="AI34"/>
  <c r="AJ34"/>
  <c r="AG34"/>
  <c r="AG44"/>
  <c r="AG46" s="1"/>
  <c r="AG49" s="1"/>
  <c r="Y17" s="1"/>
  <c r="Z17" s="1"/>
  <c r="AJ41"/>
  <c r="AJ35"/>
  <c r="AJ44"/>
  <c r="AJ46" s="1"/>
  <c r="AJ49" s="1"/>
  <c r="O31" s="1"/>
  <c r="P31" s="1"/>
  <c r="AG35"/>
  <c r="AH44"/>
  <c r="AH46" s="1"/>
  <c r="AH49" s="1"/>
  <c r="Y18" s="1"/>
  <c r="Z18" s="1"/>
  <c r="AI44"/>
  <c r="AF42"/>
  <c r="AF35"/>
  <c r="AF40"/>
  <c r="AF41"/>
  <c r="AF33"/>
  <c r="AF39"/>
  <c r="AF36"/>
  <c r="AF44"/>
  <c r="AF46" s="1"/>
  <c r="AF49" s="1"/>
  <c r="Y16" s="1"/>
  <c r="Z16" s="1"/>
  <c r="AF34"/>
  <c r="AF38"/>
  <c r="AF37"/>
  <c r="AE39"/>
  <c r="AE44"/>
  <c r="AE46" s="1"/>
  <c r="AE49" s="1"/>
  <c r="O45" s="1"/>
  <c r="P45" s="1"/>
  <c r="P46" s="1"/>
  <c r="L48" s="1"/>
  <c r="D21" s="1"/>
  <c r="AE34"/>
  <c r="AE41"/>
  <c r="AE36"/>
  <c r="AE37"/>
  <c r="AE42"/>
  <c r="AE38"/>
  <c r="AE40"/>
  <c r="Z19" l="1"/>
  <c r="X21" s="1"/>
  <c r="X24" s="1"/>
  <c r="D44" s="1"/>
  <c r="Y75" s="1"/>
  <c r="Y79" s="1"/>
  <c r="D51" s="1"/>
  <c r="D53" s="1"/>
  <c r="F44" s="1"/>
  <c r="AI46"/>
  <c r="AI49" s="1"/>
  <c r="F46" l="1"/>
  <c r="F43"/>
  <c r="F48"/>
  <c r="F45"/>
  <c r="F51"/>
  <c r="F47"/>
  <c r="F50"/>
  <c r="F49"/>
  <c r="D59"/>
  <c r="F59" s="1"/>
  <c r="O30"/>
  <c r="P30" s="1"/>
  <c r="O29"/>
  <c r="P29" s="1"/>
  <c r="O32"/>
  <c r="P32" s="1"/>
  <c r="F52" l="1"/>
  <c r="P33"/>
  <c r="M37" s="1"/>
  <c r="D20" s="1"/>
  <c r="M111" s="1"/>
  <c r="M114" s="1"/>
  <c r="D28" s="1"/>
  <c r="D30" s="1"/>
  <c r="F20" s="1"/>
  <c r="F27" l="1"/>
  <c r="F24"/>
  <c r="F26"/>
  <c r="F22"/>
  <c r="D37"/>
  <c r="F37" s="1"/>
  <c r="F25"/>
  <c r="F19"/>
  <c r="F21"/>
  <c r="F28"/>
  <c r="F23"/>
  <c r="F18"/>
  <c r="D62" l="1"/>
  <c r="F62" s="1"/>
  <c r="F29"/>
</calcChain>
</file>

<file path=xl/comments1.xml><?xml version="1.0" encoding="utf-8"?>
<comments xmlns="http://schemas.openxmlformats.org/spreadsheetml/2006/main">
  <authors>
    <author>admin</author>
  </authors>
  <commentList>
    <comment ref="M1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<sst xmlns="http://schemas.openxmlformats.org/spreadsheetml/2006/main" count="694" uniqueCount="327">
  <si>
    <t>%</t>
  </si>
  <si>
    <t>FCR</t>
  </si>
  <si>
    <t>Baht</t>
  </si>
  <si>
    <t>Baht/kg</t>
  </si>
  <si>
    <t>20-50</t>
  </si>
  <si>
    <t>50-80</t>
  </si>
  <si>
    <t>80-100</t>
  </si>
  <si>
    <t>ME (kcal/kg)</t>
  </si>
  <si>
    <t>(%)</t>
  </si>
  <si>
    <t xml:space="preserve">ME </t>
  </si>
  <si>
    <t>(kcal/kg)</t>
  </si>
  <si>
    <t>DDGS</t>
  </si>
  <si>
    <t xml:space="preserve">            Estimation of Pig Production Cost in Thailand</t>
  </si>
  <si>
    <t>(D10.D19)</t>
  </si>
  <si>
    <t>(D32.D39)</t>
  </si>
  <si>
    <t>ค่าแม่พันธุ์สุกร</t>
  </si>
  <si>
    <t>ค่าพ่อพันธุ์สุกร</t>
  </si>
  <si>
    <t>ค่าอาหารแม่พันธุ์</t>
  </si>
  <si>
    <t>ค่าอาหารลูกสุกรดูดนม/อนุบาล</t>
  </si>
  <si>
    <t>ค่ายาและเวชภัณฑ์</t>
  </si>
  <si>
    <t>ค่าแรงงาน</t>
  </si>
  <si>
    <t>ค่าสาธารณูปโภค</t>
  </si>
  <si>
    <t>ค่าเช่าที่ดิน</t>
  </si>
  <si>
    <t>ค่าดอกเบี้ยเงินกู้</t>
  </si>
  <si>
    <t>รวมต้นทุนการผลิตลูกสุกร นน. 20 กก/ตัว</t>
  </si>
  <si>
    <t>ราคาขายลูกสุกร นน. 16 กก.</t>
  </si>
  <si>
    <t>รวมราคาขายลูกสุกร นน. 20 กก./ตัว</t>
  </si>
  <si>
    <t>มูลค่า</t>
  </si>
  <si>
    <t>หน่วย</t>
  </si>
  <si>
    <t>หมายเหตุ</t>
  </si>
  <si>
    <t>บาท</t>
  </si>
  <si>
    <t>ราคาบวกนน. ลูกสุกร 1 กก.</t>
  </si>
  <si>
    <t>ค่าลูกสุกรขุน นน. 20 กก</t>
  </si>
  <si>
    <t>ค่าอาหารสุกรขุน</t>
  </si>
  <si>
    <t>ค่าเสื่อมอาคารโรงเรือน/อุปกรณ์</t>
  </si>
  <si>
    <t>ต้นทุนการผลิตสุกรขุน 20-100 กก/ตัว</t>
  </si>
  <si>
    <t>ราคาขายสุกรขุนมีชีวิตหน้าฟาร์ม</t>
  </si>
  <si>
    <t>ราคาสุกรขุนมีชีวิต นน. 100 กก.</t>
  </si>
  <si>
    <t>ราคาแม่พันธุ์สุกร</t>
  </si>
  <si>
    <t>ราคาแม่พันธุ์สุกรคัดทิ้ง</t>
  </si>
  <si>
    <t>ราคาแม่พันธุ์สุกรสุทธิ</t>
  </si>
  <si>
    <t>จำนวนครอก/แม่/ปี</t>
  </si>
  <si>
    <t>อายุการใช้งานแม่สุกร</t>
  </si>
  <si>
    <t>จำนวนลูกสุกรผลิตได้/แม่</t>
  </si>
  <si>
    <t>ตัว</t>
  </si>
  <si>
    <t>ต้นทุนแม่พันธุ์/ลูกสุกร 1 ตัว</t>
  </si>
  <si>
    <t>ฟาร์มใช้ระบบผสมเทียมในการผสมพันธุ์แม่สุกร</t>
  </si>
  <si>
    <t>น้ำเชื้อสุกร 1 โด๊ส ราคา</t>
  </si>
  <si>
    <t>ผสมแม่สุกร 1 ครังใช้น้ำเชื้อ</t>
  </si>
  <si>
    <t>โด๊ส</t>
  </si>
  <si>
    <t>แม่สุกรให้ลูก</t>
  </si>
  <si>
    <t>ตัว/ครอก</t>
  </si>
  <si>
    <t>ค่าพ่อพันธุ์สุกร/ลูกสุกร 1 ตัว</t>
  </si>
  <si>
    <t>ค่าสุกรพ่อพันธุ์</t>
  </si>
  <si>
    <t>ค่าอาหารแม่สุกร</t>
  </si>
  <si>
    <t>ค่าอาหาร 1-84 วันของการอุ้มท้อง</t>
  </si>
  <si>
    <t>ค่าอาหาร 85-114 วันของการอุ้มท้อง</t>
  </si>
  <si>
    <t>ค่าอาหารระหว่างการเลี้ยงลูก</t>
  </si>
  <si>
    <t>ค่าอาหารช่วงท้องว่าง</t>
  </si>
  <si>
    <t>รวม</t>
  </si>
  <si>
    <t>วัน</t>
  </si>
  <si>
    <t>กก/วัน</t>
  </si>
  <si>
    <t>บาท/กก</t>
  </si>
  <si>
    <t>บาท/ตัว</t>
  </si>
  <si>
    <t>แม่สุกรให้ลูกย่านม นน. 20 กก</t>
  </si>
  <si>
    <t>ต้นทุนค่าอาหารแม่สุกร/ลูกสุกร 1 ตัว</t>
  </si>
  <si>
    <t>อาหารเลียราง</t>
  </si>
  <si>
    <t>อาหารอนุบาล</t>
  </si>
  <si>
    <t>นน. ตัว</t>
  </si>
  <si>
    <t>นน. เพิ่ม</t>
  </si>
  <si>
    <t>(กก)</t>
  </si>
  <si>
    <t>ปริมาณ</t>
  </si>
  <si>
    <t>อาหารที่กิน</t>
  </si>
  <si>
    <t>ต้นทุนค่าอาหารลูกสุกร</t>
  </si>
  <si>
    <t>&lt;7 กก</t>
  </si>
  <si>
    <t>7-20 กก</t>
  </si>
  <si>
    <t>แม่สุกรผลิตลูกได้</t>
  </si>
  <si>
    <t>ตัว/ปี</t>
  </si>
  <si>
    <t>ค่ายาและเวชภัณฑ์แม่สุกร/ลูก 1 ตัว</t>
  </si>
  <si>
    <t>ค่ายาและเวชภัณฑ์/ลูกสุกรหย่านม 1 ตัว</t>
  </si>
  <si>
    <t>คนงาน</t>
  </si>
  <si>
    <t>คน สามารถดูแลแม่สุกรได้ทั้งหมด</t>
  </si>
  <si>
    <t>คนงานเงินเดือน</t>
  </si>
  <si>
    <t>บาท/เดือน</t>
  </si>
  <si>
    <t>หรือ</t>
  </si>
  <si>
    <t>บาท/ปี</t>
  </si>
  <si>
    <t>ค่าแรงงาน/ลูกสุกร 1  ตัว</t>
  </si>
  <si>
    <t>ค่ากระแสไฟฟ้าและสาธารณูปโภค</t>
  </si>
  <si>
    <t>ค่ากระแสไฟฟ้า, ประปา, แก๊ส ฯลฯ สำหรับแม่สุกร</t>
  </si>
  <si>
    <t>แม่ เป็นเงิน</t>
  </si>
  <si>
    <t>หรือ เป็นงิน</t>
  </si>
  <si>
    <t>แต่ละปีผลิตลูกสุกรได้</t>
  </si>
  <si>
    <t>ต้นทุนค่าสาธารณูปโภค</t>
  </si>
  <si>
    <t>ค่าเสื่อมราคาโรงเรือน/อุปกรณ์</t>
  </si>
  <si>
    <t>แม่  อุ้มท้อง-หย่านม</t>
  </si>
  <si>
    <t>ค่าเสื่อมโรงเรือน-อุปกรณ์/แม่/ปี</t>
  </si>
  <si>
    <t>อายุการใช้งานของโรงเรือน-อุปกรณ์</t>
  </si>
  <si>
    <t>ค่าโรงเรือน-อุปกรณ์/แม่สุกร 1 ตัว</t>
  </si>
  <si>
    <t>แม่สุกรให้ลูกสุกรหย่านม 20 กก.</t>
  </si>
  <si>
    <t>ค่าเสื่อมโรงเรือน-อุปกรณ์/ลูกสุกร 1 ตัว</t>
  </si>
  <si>
    <t>ฟาร์มเลี้ยงสุกร</t>
  </si>
  <si>
    <t>แม่ ต้องการที่ดิน</t>
  </si>
  <si>
    <t>อัตราค่าเช่าที่ดิน</t>
  </si>
  <si>
    <t>รวมค่าเช่าที่ดิน</t>
  </si>
  <si>
    <t>ฟาร์มผลิตลูกสุกรขุน นน. 20 กก.</t>
  </si>
  <si>
    <t>ไร่</t>
  </si>
  <si>
    <t>บาท/ไร่/ปี</t>
  </si>
  <si>
    <t>ค่าเช่าที่ดิน/ลูกสุกร 1 ตัว</t>
  </si>
  <si>
    <t>ค่าการจัดการแม่สุกร</t>
  </si>
  <si>
    <t>บาท/แม่/ปี</t>
  </si>
  <si>
    <t>แม่สุกรผลิตลูกสุกร นน. 20 กก.</t>
  </si>
  <si>
    <t>ค่าการจัดการแม่สุกร/ลูกสุกร 1 ตัว</t>
  </si>
  <si>
    <t>ค่าดอกเบี้ยเงินกู้-ดำเนินการ</t>
  </si>
  <si>
    <t>ค่าใช้จ่ายทั้งหมดในการผลิตลูกสุกร</t>
  </si>
  <si>
    <t>อัตราดอกเบี้ย</t>
  </si>
  <si>
    <t>วงจรการผลิตลูกสุกร นน. 20 กก. ใช้เวลา</t>
  </si>
  <si>
    <t>ค่าดอกเบี้ยในการผลิตลูกสุกร</t>
  </si>
  <si>
    <t>ค่าลูกสุกรหย่านม นน. 20 กก.</t>
  </si>
  <si>
    <t>ค่าอาหาร</t>
  </si>
  <si>
    <t>ราคาอาหาร</t>
  </si>
  <si>
    <t>(บาท/กก)</t>
  </si>
  <si>
    <t>(บาท)</t>
  </si>
  <si>
    <t>เล็ก</t>
  </si>
  <si>
    <t>รุ่น</t>
  </si>
  <si>
    <t>ขุน</t>
  </si>
  <si>
    <t>รวมค่าอาหารเบื้องต้นเลี้ยงสุกร นน. 20-100 กก.</t>
  </si>
  <si>
    <t>รวมค่าอาหารสุกรขุน นน. 20-100 กก.</t>
  </si>
  <si>
    <t>รวมค่ายาและเวชภัณฑ์ในการเลี้ยงสุกรขุน</t>
  </si>
  <si>
    <t>คนงาน 1 คน สามารถเลี้ยงสุกรรุ่น-ขุนได้</t>
  </si>
  <si>
    <t>ค่าเงินเดือนคนงาน</t>
  </si>
  <si>
    <t>ค่ารงงานที่ใช้ในการเลี้ยงสุกรขุน</t>
  </si>
  <si>
    <t>ค่าไฟฟ้า ประปา แก๊ส ฯลฯ สำหรับการเลี้ยง</t>
  </si>
  <si>
    <t>สุกรรุ่น-ขุน จำนวน</t>
  </si>
  <si>
    <t>ค่าไฟฟ้าและสาธารณูปโภคในการเลี้ยงสุกรขุน</t>
  </si>
  <si>
    <t>โรงเรือน-อุปกรณ์เลี้ยงสุกรรุ่น-ขุน</t>
  </si>
  <si>
    <t>อายุการใช้งานของโรงเรือน</t>
  </si>
  <si>
    <t>ค่าเสื่อมราคาโรงเรือน-อุปกรณ์/ปี</t>
  </si>
  <si>
    <t>ระยะเวลาที่ใช้ในการเลี้ยงสุกร นน. 20-100 กก./รอบ</t>
  </si>
  <si>
    <t>จำนวนรอบการเลี้ยงสุกรขุนในโรงเรือน/ปี</t>
  </si>
  <si>
    <t>จำนวนสุกรขุนที่เลี้ยงได้ในโรงเรือน/ปี</t>
  </si>
  <si>
    <t>รอบ</t>
  </si>
  <si>
    <t>ค่าเสื่อมโรงเรือน-อุปกรณ์ในการเลี้ยงสุกรขุน</t>
  </si>
  <si>
    <t>ฟาร์มเลี้ยงสุกรขุน ขนาด</t>
  </si>
  <si>
    <t>ตัว ต้องการพื้นที่</t>
  </si>
  <si>
    <t>ราคาค่าเช่าที่ดิน</t>
  </si>
  <si>
    <t>จำนวนสุกรขุนที่ผลิตได้/ปี</t>
  </si>
  <si>
    <t>ค่าเช่าที่ดินในการเลี้ยงสุกรขุน</t>
  </si>
  <si>
    <t>ค่าการจัดการสุกรขุน</t>
  </si>
  <si>
    <t>ค่าการจัดการสุกรขุน นน. 20-100 กก.</t>
  </si>
  <si>
    <t>ค่าใช้จ่ายทั้งหมดในการผลิตสุกรขุน/ตัว</t>
  </si>
  <si>
    <t>ระยะเวลาในการเลี้ยงสุกรขุน</t>
  </si>
  <si>
    <t>ค่าดอกเบี้ยในการเลี้ยงสุกรขุน นน. 20-100 กก.</t>
  </si>
  <si>
    <t>วัตถุดิบอาหาร</t>
  </si>
  <si>
    <t>อนุบาล</t>
  </si>
  <si>
    <t>อุ้มท้อง</t>
  </si>
  <si>
    <t>เลี้ยงลูก</t>
  </si>
  <si>
    <t>ปลายข้าว</t>
  </si>
  <si>
    <t>ข้าวโพด</t>
  </si>
  <si>
    <t>มันสำปะหลัง</t>
  </si>
  <si>
    <t>รำละเอียด</t>
  </si>
  <si>
    <t>กากถั่วเหลือง (44%)</t>
  </si>
  <si>
    <t>ปลาป่น (58%)</t>
  </si>
  <si>
    <t>น้ำมันรำ</t>
  </si>
  <si>
    <t>ไดแคลเซี่ยมฟอสเฟต</t>
  </si>
  <si>
    <t>โมโนแคลเซี่ยมฟอสเฟต</t>
  </si>
  <si>
    <t>เกลือ</t>
  </si>
  <si>
    <t>แอล-ไลซีน</t>
  </si>
  <si>
    <t>ดีแอล-เมทไธโอนีน</t>
  </si>
  <si>
    <t>แอล-ทรีโอนีน</t>
  </si>
  <si>
    <t>พรีมิกซ์</t>
  </si>
  <si>
    <t xml:space="preserve">โปรตีน (%) </t>
  </si>
  <si>
    <t>แคลเซี่ยม (%)</t>
  </si>
  <si>
    <t>ฟอสฟอรัสใช้ประโยชน์ (%)</t>
  </si>
  <si>
    <t>ไลซีน (%)</t>
  </si>
  <si>
    <t>เมท+ซิส (%)</t>
  </si>
  <si>
    <t>ทริปโตเฟน (%)</t>
  </si>
  <si>
    <t>ทรีโอนีน (%)</t>
  </si>
  <si>
    <t>ไขมัน (%)</t>
  </si>
  <si>
    <t>เยื่อใย (%)</t>
  </si>
  <si>
    <t>วัตถุดิบหลัก (บาท/กก)</t>
  </si>
  <si>
    <t>กากปาล์ม</t>
  </si>
  <si>
    <t>กากคาโนล่า</t>
  </si>
  <si>
    <t>ปลาป่น (64%)</t>
  </si>
  <si>
    <t>เวย์</t>
  </si>
  <si>
    <t>กำไร-ขาดทุนต่อการผลิตลูกสุกร/ตัว</t>
  </si>
  <si>
    <t>กำไร-ขาดทุนต่อการผลิตสุกรขุน/ตัว</t>
  </si>
  <si>
    <t>ถั่วเหลืองเอ็กทรูด (ถั่วอบ)</t>
  </si>
  <si>
    <t>ผลิตภัณฑ์</t>
  </si>
  <si>
    <t>ราคา</t>
  </si>
  <si>
    <t xml:space="preserve">                ปริมาณที่ใช้ (กรัม/ตันอาหาร)</t>
  </si>
  <si>
    <t>อาหารเสริมและยา (บาท/กก)*</t>
  </si>
  <si>
    <t>โปรตีน</t>
  </si>
  <si>
    <t>แคลเซี่ยม</t>
  </si>
  <si>
    <t>ฟอสฟอรัส</t>
  </si>
  <si>
    <t>เมท+ซิส</t>
  </si>
  <si>
    <t>ทริปโตเฟน</t>
  </si>
  <si>
    <t>ทรีโอนีน</t>
  </si>
  <si>
    <t>ไขมัน</t>
  </si>
  <si>
    <t>เยื่อใย</t>
  </si>
  <si>
    <t>ไลซีน</t>
  </si>
  <si>
    <t>จำนวนลูกหย่านม/ครอก (นน. 20 กก.)</t>
  </si>
  <si>
    <t>จำนวนลูกสุกรหย่านม/แม่/ปี (นน. 20 กก.)</t>
  </si>
  <si>
    <t>ปี</t>
  </si>
  <si>
    <t>% ต้นทุน</t>
  </si>
  <si>
    <r>
      <t>ค่ายาสำหรับแม่สุกร</t>
    </r>
    <r>
      <rPr>
        <vertAlign val="superscript"/>
        <sz val="11"/>
        <color indexed="8"/>
        <rFont val="Tahoma"/>
        <family val="2"/>
      </rPr>
      <t>1</t>
    </r>
  </si>
  <si>
    <r>
      <t>ค่าวัคซีนสำหรับแม่สุกร/ปี</t>
    </r>
    <r>
      <rPr>
        <vertAlign val="superscript"/>
        <sz val="11"/>
        <color indexed="8"/>
        <rFont val="Tahoma"/>
        <family val="2"/>
      </rPr>
      <t>2</t>
    </r>
  </si>
  <si>
    <r>
      <t>ค่ายาสำหรับลูกสุกร/ตัว</t>
    </r>
    <r>
      <rPr>
        <vertAlign val="superscript"/>
        <sz val="11"/>
        <color indexed="8"/>
        <rFont val="Tahoma"/>
        <family val="2"/>
      </rPr>
      <t>3</t>
    </r>
  </si>
  <si>
    <r>
      <t>ค่าวัคซีนสำหรับลูกสุกร/ตัว</t>
    </r>
    <r>
      <rPr>
        <vertAlign val="superscript"/>
        <sz val="11"/>
        <color indexed="8"/>
        <rFont val="Tahoma"/>
        <family val="2"/>
      </rPr>
      <t>4</t>
    </r>
  </si>
  <si>
    <t>ค่ายา.........</t>
  </si>
  <si>
    <t>ค่าวัคซีน.....</t>
  </si>
  <si>
    <r>
      <t>ค่าวัคซีน</t>
    </r>
    <r>
      <rPr>
        <vertAlign val="superscript"/>
        <sz val="11"/>
        <color indexed="8"/>
        <rFont val="Tahoma"/>
        <family val="2"/>
      </rPr>
      <t>1</t>
    </r>
  </si>
  <si>
    <r>
      <t>ค่ายาและเวชภัณฑ์อื่นๆ</t>
    </r>
    <r>
      <rPr>
        <vertAlign val="superscript"/>
        <sz val="11"/>
        <color indexed="8"/>
        <rFont val="Tahoma"/>
        <family val="2"/>
      </rPr>
      <t>2</t>
    </r>
  </si>
  <si>
    <r>
      <t xml:space="preserve">    ค่าวัคซีน</t>
    </r>
    <r>
      <rPr>
        <vertAlign val="superscript"/>
        <sz val="11"/>
        <color indexed="8"/>
        <rFont val="Tahoma"/>
        <family val="2"/>
      </rPr>
      <t>1</t>
    </r>
  </si>
  <si>
    <r>
      <t xml:space="preserve">   ค่ายาและเวชภัณฑ์อื่นๆ</t>
    </r>
    <r>
      <rPr>
        <vertAlign val="superscript"/>
        <sz val="11"/>
        <color indexed="8"/>
        <rFont val="Tahoma"/>
        <family val="2"/>
      </rPr>
      <t>2</t>
    </r>
  </si>
  <si>
    <t>ค่าวัคซีน PCV-2</t>
  </si>
  <si>
    <t>กลับ</t>
  </si>
  <si>
    <t>รายละเอียด</t>
  </si>
  <si>
    <t>พื้นที่ว่าง 1</t>
  </si>
  <si>
    <t>พื้นที่ว่าง 2</t>
  </si>
  <si>
    <t>การสูญเสีย-นน. หาย (%)</t>
  </si>
  <si>
    <t>เป็นเงิน</t>
  </si>
  <si>
    <t>รายการหลัก</t>
  </si>
  <si>
    <t>สุกรเล็ก (20-50 กก)</t>
  </si>
  <si>
    <t>สุกรรุ่น (50-80 กก)</t>
  </si>
  <si>
    <t>สุกรขุน (80-100 กก)</t>
  </si>
  <si>
    <t>แม่สุกรอุ้มท้อง</t>
  </si>
  <si>
    <t>แม่สุกรเลี้ยงลูก</t>
  </si>
  <si>
    <t>ส่วนที่ 3: กำไรทั้งระบบเกิดจากการผลิต</t>
  </si>
  <si>
    <t xml:space="preserve">                       รายการรองที่ 1. รายละเอียดต้นทุนการผลิตลูกสุกร นน. 20 กก. </t>
  </si>
  <si>
    <t xml:space="preserve">    รายการย่อยที่ 1.1 : รายละเอียดค่ายา/วัคซีนแม่สุกรและลูกสุกร</t>
  </si>
  <si>
    <t xml:space="preserve">                              รายการรอง 3: รายละเอียดการประมาณการราคาอาหารสัตว์</t>
  </si>
  <si>
    <t xml:space="preserve">                                รายการย่อย 3.1: รายละเอียดอาหารเสริมและยาในสูตรอาหาร</t>
  </si>
  <si>
    <t xml:space="preserve">                                       รายการย่อย 3.2: ตารางองค์ประกอบโภชนะของวัตถุดิบอาหารสัตว์</t>
  </si>
  <si>
    <t xml:space="preserve">            รายการรอง 2: รายละเอียดต้นทุนการผลิตสุกรขุน นน. 20-100 กก.</t>
  </si>
  <si>
    <t xml:space="preserve">     รายการย่อย 2.1: รายละเอียดค่ายา/วัคซีนในการเลี้ยงสุกรขุน</t>
  </si>
  <si>
    <t xml:space="preserve">            สุกรขุน/ตัว (ผลิตลูกสุกร+เลี้ยงขุนเอง)</t>
  </si>
  <si>
    <t>ส่วนที่ 1: วัตถุดิบอาหารใช้ในการคำนวน</t>
  </si>
  <si>
    <t>ส่วนที่ 2: วัตถุดิบอาหารสำรอง</t>
  </si>
  <si>
    <t>โรงเรือน/อุปกรณ์/บำบัดน้ำเสีย</t>
  </si>
  <si>
    <t>20-50 กก</t>
  </si>
  <si>
    <t>50-80 กก</t>
  </si>
  <si>
    <t>80-100 กก</t>
  </si>
  <si>
    <t>รายรับการขายมูลสุกรแม่พันธุ์/ลูกสุกร 1 ตัว</t>
  </si>
  <si>
    <t>รายได้จากการขายมูลสุกร</t>
  </si>
  <si>
    <t>แม่สุกรให้มูลสุกรแห้งวันละ</t>
  </si>
  <si>
    <t>กก/ตัว/วัน</t>
  </si>
  <si>
    <t>ระยะเวลาอุ้มท้อง-เลี้ยงลูก</t>
  </si>
  <si>
    <t>มูลสุกรแห้งที่ได้จากแม่สุกร</t>
  </si>
  <si>
    <t>กก</t>
  </si>
  <si>
    <t>ราคาขาย กก. ละ</t>
  </si>
  <si>
    <t>รายรับมูลสุกรแห้ง/แม่/รอบการสืบพันธุ์</t>
  </si>
  <si>
    <t>รายรับการขายมูลสุกร/ลูก 1 ตัว</t>
  </si>
  <si>
    <t>รายรับจาการขายมูลสุกรขุน/ตัว</t>
  </si>
  <si>
    <t>รายรับจากการขายมูลสุกรขุน</t>
  </si>
  <si>
    <t>รายรับจากการขายมูลสุกรขุน/ตัว</t>
  </si>
  <si>
    <t>สุกรขุนให้มูลสุกรแห้งวันละ</t>
  </si>
  <si>
    <t>ระยะเวลาสุกรรุ่น-ขุน</t>
  </si>
  <si>
    <t>มูลสุกรแห้งไดจากสุกรขุน</t>
  </si>
  <si>
    <t>กก/ตัว</t>
  </si>
  <si>
    <t>ค่าเสื่อมราคาสิ่งก่อสร้าง/อุปกรณ์โรงเรือนเปิด</t>
  </si>
  <si>
    <t>บาท/กก*</t>
  </si>
  <si>
    <t>*อาหารสำเร็จ</t>
  </si>
  <si>
    <t>การเลี้ยงสุกรขุน นน. 20-100 กก. 1 รุ่น ใช้ระยะเวลา</t>
  </si>
  <si>
    <t>ค่าเสื่อมราคาโรงเรือน-อุปกรณ์โรงเรือนเปิด</t>
  </si>
  <si>
    <t xml:space="preserve">                                           รายการหลัก</t>
  </si>
  <si>
    <t>สารจับเชื้อรา</t>
  </si>
  <si>
    <t>Colistin 10%</t>
  </si>
  <si>
    <t>เอ็นไซม์ Phytase</t>
  </si>
  <si>
    <t>Dynamutalin 10%</t>
  </si>
  <si>
    <t>ค่าการบริหารจัดการฟาร์ม</t>
  </si>
  <si>
    <t>ส่วนที่ 2: ต้นทุนการผลิต/รายรับสุกรขุน (นน. 20-100 กก.)</t>
  </si>
  <si>
    <t>สารกันรา</t>
  </si>
  <si>
    <t>สารกันหืน</t>
  </si>
  <si>
    <t>ค่ายากันบิด (BICOX)</t>
  </si>
  <si>
    <t>ค่ายาแก้ขี้ไหล</t>
  </si>
  <si>
    <t>ค่าวัคซีน FMD 2 เข็ม</t>
  </si>
  <si>
    <t>ค่าวัคซีน อหิวาต์ 2 เข็ม</t>
  </si>
  <si>
    <t>ค่ายา Ammoxy 3 เข็ม</t>
  </si>
  <si>
    <t>ค่าวัคซีน AD 1 เข็ม</t>
  </si>
  <si>
    <t>ค่าวัคซีน Mycoplasma 1 เข็ม</t>
  </si>
  <si>
    <t>ค่าวัคซีน Circovirus 1 เข็ม</t>
  </si>
  <si>
    <t>รำสกัด</t>
  </si>
  <si>
    <t>กากเนื้อในปาล์ม</t>
  </si>
  <si>
    <t>กากถั่วเหลือง(49%)</t>
  </si>
  <si>
    <t>ราคา (บาท/กก)</t>
  </si>
  <si>
    <t xml:space="preserve">       รายการย่อย 3.3: คลังสูตรอาหารที่ใช้ในการเลี้ยงสุกร</t>
  </si>
  <si>
    <t>หมายเลขสูตรอาหาร</t>
  </si>
  <si>
    <t>เวย์ (whey)</t>
  </si>
  <si>
    <t>กลับ 1.3</t>
  </si>
  <si>
    <t>กลับ 1.4</t>
  </si>
  <si>
    <t>กลับ 2.2</t>
  </si>
  <si>
    <t>คลังสูตรอาหาร</t>
  </si>
  <si>
    <t>ขึ้นบน</t>
  </si>
  <si>
    <t>ลงล่าง</t>
  </si>
  <si>
    <t>ต้นทุนลุกสุกร</t>
  </si>
  <si>
    <t>ต้นทุนลูกสุกร</t>
  </si>
  <si>
    <t>ต้นทุนสุกรขุน</t>
  </si>
  <si>
    <t>สุกรอนุบาล (7-20 กก)</t>
  </si>
  <si>
    <t>เปลือกหอย/หินปูน</t>
  </si>
  <si>
    <t>สุกรรุ่น</t>
  </si>
  <si>
    <t>สุกรเล็ก</t>
  </si>
  <si>
    <t>สุกรขุน</t>
  </si>
  <si>
    <t>สุกรอนุบาล</t>
  </si>
  <si>
    <t>อาหารเสริม/ยา (บาท/กก)*</t>
  </si>
  <si>
    <t>ยา/วัคซีนลูกสุกร</t>
  </si>
  <si>
    <t>ยา/วัคซีนแม่สุกร</t>
  </si>
  <si>
    <t>ตัว    อุ้มท้อง/หย่านม</t>
  </si>
  <si>
    <t>ใน 1 ปี สามารถผลิตลูกสุกรได้ทั้งหมด</t>
  </si>
  <si>
    <t xml:space="preserve">                       SARDI PIGCOST Model - Release 1</t>
  </si>
  <si>
    <t xml:space="preserve">                                                   พัฒนาโดย</t>
  </si>
  <si>
    <t xml:space="preserve">                    สถาบันสุวรรณวาจกกสิกิจเพื่อการค้นคว้าและพัฒนาปศุสัตว์และผลิตภัณฑ์สัตว์</t>
  </si>
  <si>
    <t xml:space="preserve">                               มหาวิทยาลัยเกษตรศาตร์ วิทยาเขตกำแพงแสน จังหวัดนครปฐม</t>
  </si>
  <si>
    <t xml:space="preserve">  ระยะเล็ก</t>
  </si>
  <si>
    <t xml:space="preserve">  ระยะรุ่น</t>
  </si>
  <si>
    <t xml:space="preserve">  ระยะขุน</t>
  </si>
  <si>
    <t>ส่วนที่ 1: ต้นทุนการผลิต/รายรับ ลูกสุกร นน. 20 กก.</t>
  </si>
  <si>
    <t>อัตราการสูญเสียการเลี้ยง (ตาย/แคระแกรน)</t>
  </si>
  <si>
    <t>ต้นทุนค่าลูกสุกรหย่านม/ตัว</t>
  </si>
  <si>
    <t>อัตราการสูญเสียสุกรขุนเฉลี่ยตลอดการเลี้ยง</t>
  </si>
  <si>
    <t>วัตถุดิบอาหารสำรอง</t>
  </si>
  <si>
    <t>สุกร</t>
  </si>
  <si>
    <r>
      <rPr>
        <b/>
        <i/>
        <sz val="14"/>
        <color indexed="17"/>
        <rFont val="Tahoma"/>
        <family val="2"/>
      </rPr>
      <t xml:space="preserve">                                   </t>
    </r>
    <r>
      <rPr>
        <b/>
        <sz val="14"/>
        <color indexed="17"/>
        <rFont val="Tahoma"/>
        <family val="2"/>
      </rPr>
      <t>รองศาสตราจารย์อุทัย คันโธ</t>
    </r>
  </si>
  <si>
    <t>ค่าการผลิตอาหารผง</t>
  </si>
  <si>
    <t>ราคาอาหารสุทธิ</t>
  </si>
  <si>
    <t>ค่าวัคซีน อหิวาต์</t>
  </si>
  <si>
    <t xml:space="preserve">         โปรแกรมคำนวนต้นทุนการเลี้ยงสุกรในประเทศไทย</t>
  </si>
  <si>
    <t>Ammoxycillin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</si>
</sst>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0.0"/>
    <numFmt numFmtId="188" formatCode="_-* #,##0.0_-;\-* #,##0.0_-;_-* &quot;-&quot;??_-;_-@_-"/>
    <numFmt numFmtId="189" formatCode="_-* #,##0_-;\-* #,##0_-;_-* &quot;-&quot;??_-;_-@_-"/>
  </numFmts>
  <fonts count="39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1"/>
      <color indexed="30"/>
      <name val="Tahoma"/>
      <family val="2"/>
    </font>
    <font>
      <vertAlign val="superscript"/>
      <sz val="11"/>
      <color indexed="8"/>
      <name val="Tahoma"/>
      <family val="2"/>
    </font>
    <font>
      <sz val="11"/>
      <color indexed="12"/>
      <name val="Tahoma"/>
      <family val="2"/>
      <charset val="222"/>
    </font>
    <font>
      <b/>
      <sz val="10"/>
      <name val="Arial"/>
      <family val="2"/>
    </font>
    <font>
      <sz val="11"/>
      <color theme="1"/>
      <name val="Tahoma"/>
      <family val="2"/>
      <charset val="222"/>
      <scheme val="minor"/>
    </font>
    <font>
      <u/>
      <sz val="12.1"/>
      <color theme="10"/>
      <name val="Tahoma"/>
      <family val="2"/>
      <charset val="222"/>
    </font>
    <font>
      <sz val="11"/>
      <color rgb="FFFF0000"/>
      <name val="Tahoma"/>
      <family val="2"/>
      <charset val="222"/>
      <scheme val="minor"/>
    </font>
    <font>
      <sz val="11"/>
      <color rgb="FFFFC000"/>
      <name val="Tahoma"/>
      <family val="2"/>
      <charset val="222"/>
      <scheme val="minor"/>
    </font>
    <font>
      <sz val="10"/>
      <name val="Tahoma"/>
      <family val="2"/>
      <scheme val="minor"/>
    </font>
    <font>
      <sz val="1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name val="Tahoma"/>
      <family val="2"/>
      <scheme val="minor"/>
    </font>
    <font>
      <b/>
      <sz val="14"/>
      <color rgb="FF0070C0"/>
      <name val="Tahoma"/>
      <family val="2"/>
      <scheme val="minor"/>
    </font>
    <font>
      <b/>
      <sz val="11"/>
      <color rgb="FF00B050"/>
      <name val="Tahoma"/>
      <family val="2"/>
      <scheme val="minor"/>
    </font>
    <font>
      <sz val="11"/>
      <color rgb="FF00B050"/>
      <name val="Tahoma"/>
      <family val="2"/>
      <charset val="222"/>
      <scheme val="minor"/>
    </font>
    <font>
      <sz val="11"/>
      <color rgb="FF00B050"/>
      <name val="Tahoma"/>
      <family val="2"/>
      <scheme val="minor"/>
    </font>
    <font>
      <b/>
      <sz val="12"/>
      <color rgb="FF00B050"/>
      <name val="Tahoma"/>
      <family val="2"/>
      <scheme val="minor"/>
    </font>
    <font>
      <b/>
      <sz val="11"/>
      <color rgb="FF0070C0"/>
      <name val="Tahoma"/>
      <family val="2"/>
      <scheme val="minor"/>
    </font>
    <font>
      <b/>
      <sz val="12"/>
      <color theme="5" tint="-0.249977111117893"/>
      <name val="Tahoma"/>
      <family val="2"/>
      <scheme val="minor"/>
    </font>
    <font>
      <sz val="11"/>
      <name val="Tahoma"/>
      <family val="2"/>
      <scheme val="minor"/>
    </font>
    <font>
      <b/>
      <sz val="12"/>
      <color rgb="FF0070C0"/>
      <name val="Tahoma"/>
      <family val="2"/>
      <scheme val="minor"/>
    </font>
    <font>
      <b/>
      <sz val="11"/>
      <color rgb="FFFF0000"/>
      <name val="Tahoma"/>
      <family val="2"/>
      <scheme val="minor"/>
    </font>
    <font>
      <u/>
      <sz val="11"/>
      <color theme="10"/>
      <name val="Tahoma"/>
      <family val="2"/>
      <charset val="222"/>
    </font>
    <font>
      <b/>
      <sz val="26"/>
      <color theme="1"/>
      <name val="DilleniaUPC"/>
      <family val="1"/>
    </font>
    <font>
      <b/>
      <sz val="14"/>
      <color theme="5" tint="-0.249977111117893"/>
      <name val="Tahoma"/>
      <family val="2"/>
      <scheme val="minor"/>
    </font>
    <font>
      <b/>
      <i/>
      <sz val="11"/>
      <color rgb="FF00B050"/>
      <name val="Tahoma"/>
      <family val="2"/>
      <scheme val="minor"/>
    </font>
    <font>
      <sz val="11"/>
      <color rgb="FF0070C0"/>
      <name val="Tahoma"/>
      <family val="2"/>
      <scheme val="minor"/>
    </font>
    <font>
      <i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u/>
      <sz val="11"/>
      <color theme="10"/>
      <name val="Tahoma"/>
      <family val="2"/>
    </font>
    <font>
      <b/>
      <sz val="14"/>
      <color indexed="17"/>
      <name val="Tahoma"/>
      <family val="2"/>
    </font>
    <font>
      <b/>
      <i/>
      <sz val="14"/>
      <color indexed="17"/>
      <name val="Tahoma"/>
      <family val="2"/>
    </font>
    <font>
      <b/>
      <sz val="10.5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A2E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1" fillId="0" borderId="0"/>
  </cellStyleXfs>
  <cellXfs count="235">
    <xf numFmtId="0" fontId="0" fillId="0" borderId="0" xfId="0"/>
    <xf numFmtId="0" fontId="0" fillId="0" borderId="0" xfId="0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3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Protection="1"/>
    <xf numFmtId="2" fontId="0" fillId="0" borderId="0" xfId="0" applyNumberFormat="1" applyBorder="1" applyAlignment="1" applyProtection="1">
      <alignment horizontal="center"/>
    </xf>
    <xf numFmtId="43" fontId="6" fillId="0" borderId="0" xfId="2" applyFont="1" applyBorder="1" applyProtection="1"/>
    <xf numFmtId="43" fontId="6" fillId="0" borderId="0" xfId="2" applyFont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  <protection hidden="1"/>
    </xf>
    <xf numFmtId="2" fontId="0" fillId="0" borderId="2" xfId="0" applyNumberFormat="1" applyBorder="1" applyAlignment="1" applyProtection="1">
      <alignment horizontal="center"/>
      <protection hidden="1"/>
    </xf>
    <xf numFmtId="2" fontId="0" fillId="0" borderId="1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locked="0"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15" fillId="0" borderId="1" xfId="0" applyFont="1" applyBorder="1" applyProtection="1">
      <protection hidden="1"/>
    </xf>
    <xf numFmtId="0" fontId="26" fillId="0" borderId="0" xfId="0" applyFon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1" xfId="0" applyBorder="1" applyProtection="1">
      <protection hidden="1"/>
    </xf>
    <xf numFmtId="0" fontId="19" fillId="0" borderId="0" xfId="0" applyFont="1" applyBorder="1" applyProtection="1">
      <protection hidden="1"/>
    </xf>
    <xf numFmtId="0" fontId="19" fillId="0" borderId="1" xfId="0" applyFont="1" applyBorder="1" applyProtection="1">
      <protection hidden="1"/>
    </xf>
    <xf numFmtId="0" fontId="23" fillId="0" borderId="0" xfId="0" applyFont="1" applyBorder="1" applyProtection="1">
      <protection hidden="1"/>
    </xf>
    <xf numFmtId="0" fontId="27" fillId="0" borderId="0" xfId="0" applyFont="1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7" fillId="0" borderId="3" xfId="1" applyBorder="1" applyAlignment="1" applyProtection="1">
      <alignment horizontal="center"/>
      <protection hidden="1"/>
    </xf>
    <xf numFmtId="0" fontId="7" fillId="0" borderId="0" xfId="1" applyAlignment="1" applyProtection="1">
      <protection hidden="1"/>
    </xf>
    <xf numFmtId="0" fontId="7" fillId="0" borderId="0" xfId="1" applyAlignment="1" applyProtection="1">
      <alignment horizontal="center"/>
      <protection hidden="1"/>
    </xf>
    <xf numFmtId="0" fontId="12" fillId="0" borderId="1" xfId="0" applyFont="1" applyBorder="1" applyProtection="1">
      <protection hidden="1"/>
    </xf>
    <xf numFmtId="0" fontId="12" fillId="0" borderId="0" xfId="0" applyFont="1" applyProtection="1">
      <protection hidden="1"/>
    </xf>
    <xf numFmtId="0" fontId="12" fillId="0" borderId="9" xfId="0" applyFont="1" applyBorder="1" applyAlignment="1" applyProtection="1">
      <alignment horizontal="center"/>
      <protection hidden="1"/>
    </xf>
    <xf numFmtId="0" fontId="12" fillId="0" borderId="8" xfId="0" applyFont="1" applyBorder="1" applyAlignment="1" applyProtection="1">
      <alignment horizont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12" fillId="0" borderId="11" xfId="0" applyFont="1" applyBorder="1" applyProtection="1">
      <protection hidden="1"/>
    </xf>
    <xf numFmtId="0" fontId="12" fillId="0" borderId="11" xfId="0" applyFont="1" applyBorder="1" applyAlignment="1" applyProtection="1">
      <alignment horizontal="center"/>
      <protection hidden="1"/>
    </xf>
    <xf numFmtId="0" fontId="32" fillId="0" borderId="11" xfId="0" applyFont="1" applyBorder="1" applyAlignment="1" applyProtection="1">
      <alignment horizontal="center"/>
      <protection hidden="1"/>
    </xf>
    <xf numFmtId="0" fontId="12" fillId="0" borderId="10" xfId="0" applyFon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188" fontId="0" fillId="0" borderId="0" xfId="0" applyNumberFormat="1" applyBorder="1" applyAlignment="1" applyProtection="1">
      <alignment horizontal="center"/>
      <protection hidden="1"/>
    </xf>
    <xf numFmtId="0" fontId="34" fillId="0" borderId="1" xfId="0" applyFont="1" applyBorder="1" applyProtection="1">
      <protection hidden="1"/>
    </xf>
    <xf numFmtId="0" fontId="21" fillId="0" borderId="0" xfId="0" applyFont="1" applyBorder="1" applyProtection="1">
      <protection hidden="1"/>
    </xf>
    <xf numFmtId="189" fontId="8" fillId="3" borderId="0" xfId="2" applyNumberFormat="1" applyFont="1" applyFill="1" applyProtection="1">
      <protection locked="0" hidden="1"/>
    </xf>
    <xf numFmtId="0" fontId="13" fillId="0" borderId="0" xfId="0" applyFont="1" applyProtection="1">
      <protection hidden="1"/>
    </xf>
    <xf numFmtId="43" fontId="17" fillId="0" borderId="0" xfId="0" applyNumberFormat="1" applyFont="1" applyProtection="1">
      <protection hidden="1"/>
    </xf>
    <xf numFmtId="43" fontId="0" fillId="0" borderId="0" xfId="0" applyNumberFormat="1" applyProtection="1">
      <protection hidden="1"/>
    </xf>
    <xf numFmtId="0" fontId="30" fillId="0" borderId="3" xfId="0" applyFont="1" applyBorder="1" applyAlignment="1" applyProtection="1">
      <alignment horizontal="right"/>
      <protection hidden="1"/>
    </xf>
    <xf numFmtId="0" fontId="28" fillId="0" borderId="1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14" fillId="3" borderId="13" xfId="0" applyFont="1" applyFill="1" applyBorder="1" applyAlignment="1" applyProtection="1">
      <alignment horizontal="center"/>
      <protection locked="0" hidden="1"/>
    </xf>
    <xf numFmtId="0" fontId="0" fillId="3" borderId="13" xfId="0" applyFill="1" applyBorder="1" applyProtection="1">
      <protection locked="0" hidden="1"/>
    </xf>
    <xf numFmtId="0" fontId="0" fillId="3" borderId="13" xfId="0" applyFill="1" applyBorder="1" applyAlignment="1" applyProtection="1">
      <alignment horizontal="center"/>
      <protection locked="0" hidden="1"/>
    </xf>
    <xf numFmtId="0" fontId="20" fillId="0" borderId="1" xfId="0" applyFont="1" applyBorder="1" applyProtection="1">
      <protection hidden="1"/>
    </xf>
    <xf numFmtId="189" fontId="11" fillId="0" borderId="0" xfId="2" applyNumberFormat="1" applyFont="1" applyFill="1" applyProtection="1">
      <protection hidden="1"/>
    </xf>
    <xf numFmtId="0" fontId="20" fillId="0" borderId="3" xfId="0" applyFont="1" applyBorder="1" applyProtection="1">
      <protection hidden="1"/>
    </xf>
    <xf numFmtId="0" fontId="8" fillId="3" borderId="0" xfId="0" applyFont="1" applyFill="1" applyProtection="1">
      <protection locked="0" hidden="1"/>
    </xf>
    <xf numFmtId="2" fontId="17" fillId="0" borderId="0" xfId="0" applyNumberFormat="1" applyFont="1" applyAlignment="1" applyProtection="1">
      <alignment horizontal="center"/>
      <protection hidden="1"/>
    </xf>
    <xf numFmtId="43" fontId="0" fillId="0" borderId="0" xfId="0" applyNumberFormat="1" applyBorder="1" applyAlignment="1" applyProtection="1">
      <alignment horizontal="center"/>
      <protection hidden="1"/>
    </xf>
    <xf numFmtId="0" fontId="20" fillId="0" borderId="8" xfId="0" applyFont="1" applyBorder="1" applyProtection="1">
      <protection hidden="1"/>
    </xf>
    <xf numFmtId="0" fontId="0" fillId="3" borderId="13" xfId="0" applyFill="1" applyBorder="1" applyAlignment="1" applyProtection="1">
      <alignment horizontal="left"/>
      <protection locked="0" hidden="1"/>
    </xf>
    <xf numFmtId="0" fontId="7" fillId="0" borderId="2" xfId="1" applyBorder="1" applyAlignment="1" applyProtection="1">
      <alignment horizontal="center"/>
      <protection hidden="1"/>
    </xf>
    <xf numFmtId="43" fontId="6" fillId="0" borderId="0" xfId="2" applyNumberFormat="1" applyFont="1" applyBorder="1" applyProtection="1">
      <protection hidden="1"/>
    </xf>
    <xf numFmtId="43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16" fillId="0" borderId="0" xfId="0" applyFont="1" applyBorder="1" applyProtection="1">
      <protection hidden="1"/>
    </xf>
    <xf numFmtId="0" fontId="16" fillId="0" borderId="1" xfId="0" applyFont="1" applyBorder="1" applyProtection="1">
      <protection hidden="1"/>
    </xf>
    <xf numFmtId="0" fontId="0" fillId="0" borderId="11" xfId="0" applyBorder="1" applyProtection="1">
      <protection hidden="1"/>
    </xf>
    <xf numFmtId="2" fontId="0" fillId="0" borderId="0" xfId="0" applyNumberFormat="1" applyBorder="1" applyAlignment="1" applyProtection="1">
      <alignment horizontal="right"/>
      <protection hidden="1"/>
    </xf>
    <xf numFmtId="0" fontId="16" fillId="0" borderId="3" xfId="0" applyFont="1" applyBorder="1" applyProtection="1">
      <protection hidden="1"/>
    </xf>
    <xf numFmtId="0" fontId="11" fillId="0" borderId="0" xfId="0" applyFont="1" applyProtection="1">
      <protection hidden="1"/>
    </xf>
    <xf numFmtId="2" fontId="17" fillId="0" borderId="0" xfId="0" applyNumberFormat="1" applyFont="1" applyProtection="1">
      <protection hidden="1"/>
    </xf>
    <xf numFmtId="0" fontId="0" fillId="0" borderId="10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  <protection locked="0" hidden="1"/>
    </xf>
    <xf numFmtId="2" fontId="11" fillId="0" borderId="0" xfId="0" applyNumberFormat="1" applyFont="1" applyAlignment="1" applyProtection="1">
      <alignment horizontal="center"/>
      <protection hidden="1"/>
    </xf>
    <xf numFmtId="0" fontId="7" fillId="0" borderId="10" xfId="1" applyBorder="1" applyAlignme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center"/>
      <protection hidden="1"/>
    </xf>
    <xf numFmtId="187" fontId="0" fillId="0" borderId="10" xfId="0" applyNumberFormat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right"/>
      <protection hidden="1"/>
    </xf>
    <xf numFmtId="2" fontId="0" fillId="0" borderId="0" xfId="0" applyNumberFormat="1" applyProtection="1">
      <protection hidden="1"/>
    </xf>
    <xf numFmtId="0" fontId="33" fillId="0" borderId="2" xfId="1" applyFont="1" applyBorder="1" applyAlignment="1" applyProtection="1">
      <alignment horizontal="center"/>
      <protection hidden="1"/>
    </xf>
    <xf numFmtId="0" fontId="8" fillId="3" borderId="4" xfId="0" applyFont="1" applyFill="1" applyBorder="1" applyAlignment="1" applyProtection="1">
      <alignment horizontal="center"/>
      <protection locked="0" hidden="1"/>
    </xf>
    <xf numFmtId="2" fontId="11" fillId="0" borderId="4" xfId="0" applyNumberFormat="1" applyFont="1" applyBorder="1" applyAlignment="1" applyProtection="1">
      <alignment horizontal="center"/>
      <protection hidden="1"/>
    </xf>
    <xf numFmtId="2" fontId="0" fillId="0" borderId="5" xfId="0" applyNumberFormat="1" applyBorder="1" applyAlignment="1" applyProtection="1">
      <alignment horizontal="center"/>
      <protection hidden="1"/>
    </xf>
    <xf numFmtId="0" fontId="0" fillId="0" borderId="1" xfId="0" applyBorder="1" applyProtection="1">
      <protection locked="0" hidden="1"/>
    </xf>
    <xf numFmtId="0" fontId="11" fillId="0" borderId="0" xfId="0" applyFont="1" applyFill="1" applyAlignment="1" applyProtection="1">
      <alignment horizontal="left"/>
      <protection hidden="1"/>
    </xf>
    <xf numFmtId="43" fontId="0" fillId="0" borderId="0" xfId="0" applyNumberFormat="1" applyAlignment="1" applyProtection="1">
      <alignment horizontal="right"/>
      <protection hidden="1"/>
    </xf>
    <xf numFmtId="2" fontId="18" fillId="0" borderId="0" xfId="0" applyNumberFormat="1" applyFont="1" applyAlignment="1" applyProtection="1">
      <alignment horizontal="center"/>
      <protection hidden="1"/>
    </xf>
    <xf numFmtId="2" fontId="0" fillId="0" borderId="10" xfId="0" applyNumberFormat="1" applyBorder="1" applyAlignment="1" applyProtection="1">
      <alignment horizontal="center"/>
      <protection hidden="1"/>
    </xf>
    <xf numFmtId="2" fontId="0" fillId="0" borderId="4" xfId="0" applyNumberFormat="1" applyBorder="1" applyProtection="1"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25" fillId="0" borderId="0" xfId="1" applyFont="1" applyAlignment="1" applyProtection="1">
      <protection hidden="1"/>
    </xf>
    <xf numFmtId="0" fontId="10" fillId="0" borderId="2" xfId="0" applyFont="1" applyBorder="1" applyProtection="1">
      <protection hidden="1"/>
    </xf>
    <xf numFmtId="0" fontId="25" fillId="0" borderId="2" xfId="1" applyFont="1" applyBorder="1" applyAlignment="1" applyProtection="1">
      <alignment horizontal="center"/>
      <protection hidden="1"/>
    </xf>
    <xf numFmtId="0" fontId="14" fillId="3" borderId="9" xfId="0" applyFont="1" applyFill="1" applyBorder="1" applyAlignment="1" applyProtection="1">
      <alignment horizontal="center"/>
      <protection locked="0" hidden="1"/>
    </xf>
    <xf numFmtId="0" fontId="0" fillId="0" borderId="0" xfId="0" applyFill="1" applyProtection="1">
      <protection hidden="1"/>
    </xf>
    <xf numFmtId="0" fontId="10" fillId="0" borderId="0" xfId="0" applyFont="1" applyProtection="1">
      <protection hidden="1"/>
    </xf>
    <xf numFmtId="0" fontId="12" fillId="0" borderId="13" xfId="0" applyFont="1" applyBorder="1" applyProtection="1">
      <protection hidden="1"/>
    </xf>
    <xf numFmtId="0" fontId="12" fillId="0" borderId="12" xfId="0" applyFont="1" applyBorder="1" applyProtection="1">
      <protection hidden="1"/>
    </xf>
    <xf numFmtId="0" fontId="12" fillId="0" borderId="13" xfId="0" applyFont="1" applyBorder="1" applyAlignment="1" applyProtection="1">
      <alignment horizontal="center"/>
      <protection hidden="1"/>
    </xf>
    <xf numFmtId="0" fontId="28" fillId="0" borderId="8" xfId="0" applyFont="1" applyBorder="1" applyProtection="1">
      <protection hidden="1"/>
    </xf>
    <xf numFmtId="0" fontId="7" fillId="0" borderId="2" xfId="1" applyBorder="1" applyAlignme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0" fontId="12" fillId="0" borderId="0" xfId="0" applyFont="1" applyBorder="1" applyProtection="1">
      <protection hidden="1"/>
    </xf>
    <xf numFmtId="0" fontId="12" fillId="0" borderId="0" xfId="0" applyFont="1" applyBorder="1" applyAlignment="1" applyProtection="1">
      <alignment horizontal="center"/>
      <protection hidden="1"/>
    </xf>
    <xf numFmtId="43" fontId="8" fillId="3" borderId="0" xfId="2" applyFont="1" applyFill="1" applyAlignment="1" applyProtection="1">
      <alignment horizontal="center"/>
      <protection locked="0" hidden="1"/>
    </xf>
    <xf numFmtId="0" fontId="0" fillId="0" borderId="13" xfId="0" applyBorder="1" applyProtection="1">
      <protection hidden="1"/>
    </xf>
    <xf numFmtId="0" fontId="14" fillId="0" borderId="1" xfId="0" applyFont="1" applyBorder="1" applyAlignment="1" applyProtection="1">
      <alignment horizontal="center"/>
      <protection hidden="1"/>
    </xf>
    <xf numFmtId="43" fontId="6" fillId="0" borderId="0" xfId="2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2" fontId="0" fillId="0" borderId="10" xfId="0" applyNumberFormat="1" applyBorder="1" applyProtection="1">
      <protection hidden="1"/>
    </xf>
    <xf numFmtId="189" fontId="8" fillId="3" borderId="0" xfId="2" applyNumberFormat="1" applyFont="1" applyFill="1" applyAlignment="1" applyProtection="1">
      <alignment horizontal="center"/>
      <protection locked="0" hidden="1"/>
    </xf>
    <xf numFmtId="0" fontId="16" fillId="0" borderId="0" xfId="0" applyFont="1" applyProtection="1">
      <protection hidden="1"/>
    </xf>
    <xf numFmtId="189" fontId="16" fillId="0" borderId="0" xfId="0" applyNumberFormat="1" applyFont="1" applyAlignment="1" applyProtection="1">
      <alignment horizontal="center"/>
      <protection hidden="1"/>
    </xf>
    <xf numFmtId="43" fontId="16" fillId="0" borderId="0" xfId="0" applyNumberFormat="1" applyFont="1" applyProtection="1">
      <protection hidden="1"/>
    </xf>
    <xf numFmtId="2" fontId="0" fillId="0" borderId="11" xfId="0" applyNumberFormat="1" applyBorder="1" applyProtection="1">
      <protection hidden="1"/>
    </xf>
    <xf numFmtId="2" fontId="0" fillId="0" borderId="1" xfId="0" applyNumberFormat="1" applyBorder="1" applyProtection="1">
      <protection hidden="1"/>
    </xf>
    <xf numFmtId="2" fontId="16" fillId="0" borderId="1" xfId="0" applyNumberFormat="1" applyFon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2" fontId="16" fillId="0" borderId="3" xfId="0" applyNumberFormat="1" applyFont="1" applyBorder="1" applyProtection="1">
      <protection hidden="1"/>
    </xf>
    <xf numFmtId="2" fontId="0" fillId="0" borderId="9" xfId="0" applyNumberFormat="1" applyBorder="1" applyProtection="1">
      <protection hidden="1"/>
    </xf>
    <xf numFmtId="0" fontId="22" fillId="0" borderId="0" xfId="0" applyFont="1" applyBorder="1" applyProtection="1"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31" fillId="0" borderId="2" xfId="0" applyFont="1" applyBorder="1" applyAlignment="1" applyProtection="1">
      <alignment horizontal="left"/>
      <protection hidden="1"/>
    </xf>
    <xf numFmtId="43" fontId="6" fillId="0" borderId="0" xfId="2" applyFont="1" applyAlignment="1" applyProtection="1">
      <alignment horizontal="right"/>
      <protection hidden="1"/>
    </xf>
    <xf numFmtId="0" fontId="8" fillId="3" borderId="0" xfId="0" applyFont="1" applyFill="1" applyBorder="1" applyAlignment="1" applyProtection="1">
      <alignment horizontal="center"/>
      <protection locked="0" hidden="1"/>
    </xf>
    <xf numFmtId="2" fontId="11" fillId="0" borderId="0" xfId="0" applyNumberFormat="1" applyFont="1" applyBorder="1" applyAlignment="1" applyProtection="1">
      <alignment horizontal="center"/>
      <protection hidden="1"/>
    </xf>
    <xf numFmtId="0" fontId="29" fillId="0" borderId="1" xfId="0" applyFont="1" applyBorder="1" applyProtection="1">
      <protection hidden="1"/>
    </xf>
    <xf numFmtId="0" fontId="30" fillId="0" borderId="0" xfId="0" applyFont="1" applyAlignment="1" applyProtection="1">
      <alignment horizontal="center"/>
      <protection hidden="1"/>
    </xf>
    <xf numFmtId="2" fontId="30" fillId="0" borderId="0" xfId="0" applyNumberFormat="1" applyFont="1" applyAlignment="1" applyProtection="1">
      <alignment horizontal="center"/>
      <protection hidden="1"/>
    </xf>
    <xf numFmtId="43" fontId="17" fillId="0" borderId="0" xfId="0" applyNumberFormat="1" applyFont="1" applyAlignment="1" applyProtection="1">
      <alignment horizontal="center"/>
      <protection hidden="1"/>
    </xf>
    <xf numFmtId="0" fontId="14" fillId="0" borderId="1" xfId="0" applyFont="1" applyBorder="1" applyProtection="1">
      <protection hidden="1"/>
    </xf>
    <xf numFmtId="0" fontId="0" fillId="0" borderId="4" xfId="0" applyBorder="1" applyProtection="1">
      <protection locked="0" hidden="1"/>
    </xf>
    <xf numFmtId="0" fontId="7" fillId="0" borderId="5" xfId="1" applyBorder="1" applyAlignment="1" applyProtection="1">
      <alignment horizontal="center"/>
      <protection hidden="1"/>
    </xf>
    <xf numFmtId="43" fontId="0" fillId="0" borderId="4" xfId="0" applyNumberFormat="1" applyBorder="1" applyProtection="1">
      <protection hidden="1"/>
    </xf>
    <xf numFmtId="0" fontId="7" fillId="0" borderId="0" xfId="1" applyFill="1" applyBorder="1" applyAlignment="1" applyProtection="1">
      <alignment horizontal="center"/>
      <protection hidden="1"/>
    </xf>
    <xf numFmtId="0" fontId="7" fillId="0" borderId="0" xfId="1" applyBorder="1" applyAlignment="1" applyProtection="1">
      <alignment horizontal="center"/>
      <protection hidden="1"/>
    </xf>
    <xf numFmtId="189" fontId="6" fillId="0" borderId="0" xfId="2" applyNumberFormat="1" applyFont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7" fillId="0" borderId="0" xfId="1" applyAlignment="1" applyProtection="1">
      <alignment horizontal="left"/>
      <protection hidden="1"/>
    </xf>
    <xf numFmtId="0" fontId="0" fillId="0" borderId="10" xfId="0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16" fillId="0" borderId="9" xfId="0" applyFont="1" applyBorder="1" applyProtection="1">
      <protection hidden="1"/>
    </xf>
    <xf numFmtId="2" fontId="16" fillId="0" borderId="0" xfId="0" applyNumberFormat="1" applyFont="1" applyProtection="1"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12" xfId="0" applyBorder="1" applyProtection="1">
      <protection hidden="1"/>
    </xf>
    <xf numFmtId="0" fontId="24" fillId="3" borderId="13" xfId="0" applyFont="1" applyFill="1" applyBorder="1" applyAlignment="1" applyProtection="1">
      <alignment horizontal="center"/>
      <protection locked="0" hidden="1"/>
    </xf>
    <xf numFmtId="0" fontId="8" fillId="3" borderId="13" xfId="0" applyFont="1" applyFill="1" applyBorder="1" applyAlignment="1" applyProtection="1">
      <alignment horizontal="center"/>
      <protection locked="0" hidden="1"/>
    </xf>
    <xf numFmtId="0" fontId="17" fillId="0" borderId="0" xfId="0" applyFont="1" applyProtection="1">
      <protection hidden="1"/>
    </xf>
    <xf numFmtId="43" fontId="16" fillId="0" borderId="0" xfId="0" applyNumberFormat="1" applyFont="1" applyAlignment="1" applyProtection="1">
      <alignment horizontal="right"/>
      <protection hidden="1"/>
    </xf>
    <xf numFmtId="2" fontId="0" fillId="0" borderId="3" xfId="0" applyNumberFormat="1" applyBorder="1" applyProtection="1">
      <protection hidden="1"/>
    </xf>
    <xf numFmtId="0" fontId="7" fillId="0" borderId="5" xfId="1" applyBorder="1" applyAlignment="1" applyProtection="1">
      <protection hidden="1"/>
    </xf>
    <xf numFmtId="0" fontId="8" fillId="0" borderId="0" xfId="0" applyFont="1" applyFill="1" applyAlignment="1" applyProtection="1">
      <alignment horizontal="center"/>
      <protection hidden="1"/>
    </xf>
    <xf numFmtId="2" fontId="0" fillId="0" borderId="0" xfId="0" applyNumberFormat="1" applyBorder="1" applyProtection="1">
      <protection hidden="1"/>
    </xf>
    <xf numFmtId="2" fontId="23" fillId="0" borderId="0" xfId="0" applyNumberFormat="1" applyFont="1" applyBorder="1" applyProtection="1">
      <protection hidden="1"/>
    </xf>
    <xf numFmtId="189" fontId="6" fillId="0" borderId="0" xfId="2" applyNumberFormat="1" applyFont="1" applyProtection="1">
      <protection hidden="1"/>
    </xf>
    <xf numFmtId="0" fontId="0" fillId="0" borderId="6" xfId="0" applyBorder="1" applyProtection="1">
      <protection locked="0" hidden="1"/>
    </xf>
    <xf numFmtId="0" fontId="17" fillId="0" borderId="10" xfId="0" applyFont="1" applyFill="1" applyBorder="1" applyProtection="1">
      <protection hidden="1"/>
    </xf>
    <xf numFmtId="0" fontId="17" fillId="0" borderId="2" xfId="0" applyFont="1" applyBorder="1" applyAlignment="1" applyProtection="1">
      <alignment horizontal="center"/>
      <protection hidden="1"/>
    </xf>
    <xf numFmtId="189" fontId="0" fillId="0" borderId="0" xfId="0" applyNumberFormat="1" applyProtection="1">
      <protection hidden="1"/>
    </xf>
    <xf numFmtId="0" fontId="0" fillId="0" borderId="13" xfId="0" applyFill="1" applyBorder="1" applyProtection="1">
      <protection hidden="1"/>
    </xf>
    <xf numFmtId="0" fontId="0" fillId="0" borderId="2" xfId="0" applyBorder="1" applyProtection="1">
      <protection locked="0" hidden="1"/>
    </xf>
    <xf numFmtId="0" fontId="0" fillId="0" borderId="0" xfId="0" applyFill="1" applyBorder="1" applyProtection="1">
      <protection hidden="1"/>
    </xf>
    <xf numFmtId="0" fontId="0" fillId="0" borderId="8" xfId="0" applyBorder="1" applyProtection="1">
      <protection locked="0" hidden="1"/>
    </xf>
    <xf numFmtId="0" fontId="0" fillId="0" borderId="7" xfId="0" applyBorder="1" applyProtection="1">
      <protection locked="0" hidden="1"/>
    </xf>
    <xf numFmtId="0" fontId="11" fillId="2" borderId="0" xfId="0" applyFont="1" applyFill="1" applyAlignment="1" applyProtection="1">
      <alignment horizontal="left"/>
      <protection hidden="1"/>
    </xf>
    <xf numFmtId="189" fontId="8" fillId="3" borderId="0" xfId="2" applyNumberFormat="1" applyFont="1" applyFill="1" applyAlignment="1" applyProtection="1">
      <alignment horizontal="right"/>
      <protection locked="0" hidden="1"/>
    </xf>
    <xf numFmtId="2" fontId="12" fillId="0" borderId="8" xfId="0" applyNumberFormat="1" applyFont="1" applyBorder="1" applyProtection="1">
      <protection hidden="1"/>
    </xf>
    <xf numFmtId="0" fontId="12" fillId="0" borderId="6" xfId="0" applyFont="1" applyBorder="1" applyProtection="1">
      <protection hidden="1"/>
    </xf>
    <xf numFmtId="189" fontId="6" fillId="0" borderId="0" xfId="2" applyNumberFormat="1" applyFont="1" applyAlignment="1" applyProtection="1">
      <alignment horizontal="right"/>
      <protection hidden="1"/>
    </xf>
    <xf numFmtId="0" fontId="8" fillId="3" borderId="0" xfId="0" applyFont="1" applyFill="1" applyAlignment="1" applyProtection="1">
      <alignment horizontal="right"/>
      <protection locked="0" hidden="1"/>
    </xf>
    <xf numFmtId="0" fontId="0" fillId="0" borderId="0" xfId="0" applyFill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0" fillId="3" borderId="0" xfId="0" applyFill="1" applyBorder="1" applyProtection="1">
      <protection locked="0" hidden="1"/>
    </xf>
    <xf numFmtId="0" fontId="8" fillId="3" borderId="1" xfId="0" applyFont="1" applyFill="1" applyBorder="1" applyProtection="1">
      <protection locked="0" hidden="1"/>
    </xf>
    <xf numFmtId="0" fontId="0" fillId="0" borderId="5" xfId="0" applyBorder="1" applyProtection="1">
      <protection locked="0" hidden="1"/>
    </xf>
    <xf numFmtId="2" fontId="12" fillId="0" borderId="1" xfId="0" applyNumberFormat="1" applyFont="1" applyBorder="1" applyProtection="1">
      <protection hidden="1"/>
    </xf>
    <xf numFmtId="0" fontId="0" fillId="0" borderId="3" xfId="0" applyBorder="1" applyProtection="1">
      <protection locked="0" hidden="1"/>
    </xf>
    <xf numFmtId="43" fontId="6" fillId="0" borderId="0" xfId="2" applyFont="1" applyProtection="1">
      <protection hidden="1"/>
    </xf>
    <xf numFmtId="0" fontId="12" fillId="0" borderId="8" xfId="0" applyFont="1" applyBorder="1" applyProtection="1">
      <protection hidden="1"/>
    </xf>
    <xf numFmtId="2" fontId="16" fillId="0" borderId="0" xfId="0" applyNumberFormat="1" applyFont="1" applyBorder="1" applyAlignment="1" applyProtection="1">
      <alignment horizontal="center"/>
      <protection hidden="1"/>
    </xf>
    <xf numFmtId="0" fontId="11" fillId="3" borderId="8" xfId="0" applyFont="1" applyFill="1" applyBorder="1" applyProtection="1">
      <protection locked="0" hidden="1"/>
    </xf>
    <xf numFmtId="0" fontId="0" fillId="3" borderId="6" xfId="0" applyFill="1" applyBorder="1" applyProtection="1">
      <protection locked="0" hidden="1"/>
    </xf>
    <xf numFmtId="0" fontId="8" fillId="3" borderId="9" xfId="0" applyFont="1" applyFill="1" applyBorder="1" applyProtection="1">
      <protection locked="0" hidden="1"/>
    </xf>
    <xf numFmtId="0" fontId="11" fillId="3" borderId="1" xfId="0" applyFont="1" applyFill="1" applyBorder="1" applyProtection="1">
      <protection locked="0" hidden="1"/>
    </xf>
    <xf numFmtId="0" fontId="8" fillId="3" borderId="10" xfId="0" applyFont="1" applyFill="1" applyBorder="1" applyProtection="1">
      <protection locked="0" hidden="1"/>
    </xf>
    <xf numFmtId="0" fontId="11" fillId="3" borderId="3" xfId="0" applyFont="1" applyFill="1" applyBorder="1" applyProtection="1">
      <protection locked="0" hidden="1"/>
    </xf>
    <xf numFmtId="0" fontId="0" fillId="3" borderId="4" xfId="0" applyFill="1" applyBorder="1" applyProtection="1">
      <protection locked="0" hidden="1"/>
    </xf>
    <xf numFmtId="0" fontId="17" fillId="0" borderId="13" xfId="0" applyFont="1" applyBorder="1" applyProtection="1">
      <protection hidden="1"/>
    </xf>
    <xf numFmtId="0" fontId="8" fillId="3" borderId="11" xfId="0" applyFont="1" applyFill="1" applyBorder="1" applyProtection="1">
      <protection locked="0" hidden="1"/>
    </xf>
    <xf numFmtId="0" fontId="0" fillId="3" borderId="8" xfId="0" applyFill="1" applyBorder="1" applyProtection="1">
      <protection locked="0" hidden="1"/>
    </xf>
    <xf numFmtId="0" fontId="0" fillId="3" borderId="1" xfId="0" applyFill="1" applyBorder="1" applyProtection="1">
      <protection locked="0" hidden="1"/>
    </xf>
    <xf numFmtId="0" fontId="0" fillId="3" borderId="2" xfId="0" applyFill="1" applyBorder="1" applyProtection="1">
      <protection locked="0" hidden="1"/>
    </xf>
    <xf numFmtId="0" fontId="8" fillId="3" borderId="0" xfId="0" applyFont="1" applyFill="1" applyBorder="1" applyProtection="1">
      <protection locked="0" hidden="1"/>
    </xf>
    <xf numFmtId="0" fontId="0" fillId="3" borderId="3" xfId="0" applyFill="1" applyBorder="1" applyProtection="1">
      <protection locked="0" hidden="1"/>
    </xf>
    <xf numFmtId="0" fontId="0" fillId="3" borderId="5" xfId="0" applyFill="1" applyBorder="1" applyProtection="1">
      <protection locked="0" hidden="1"/>
    </xf>
    <xf numFmtId="0" fontId="0" fillId="3" borderId="10" xfId="0" applyFill="1" applyBorder="1" applyAlignment="1" applyProtection="1">
      <alignment horizontal="center"/>
      <protection locked="0" hidden="1"/>
    </xf>
    <xf numFmtId="0" fontId="0" fillId="4" borderId="13" xfId="0" applyFill="1" applyBorder="1" applyAlignment="1" applyProtection="1">
      <alignment horizontal="center"/>
      <protection locked="0" hidden="1"/>
    </xf>
    <xf numFmtId="0" fontId="36" fillId="3" borderId="13" xfId="0" applyFont="1" applyFill="1" applyBorder="1" applyAlignment="1" applyProtection="1">
      <alignment horizontal="center"/>
      <protection locked="0" hidden="1"/>
    </xf>
    <xf numFmtId="0" fontId="7" fillId="0" borderId="13" xfId="1" applyBorder="1" applyAlignment="1" applyProtection="1">
      <protection hidden="1"/>
    </xf>
    <xf numFmtId="2" fontId="29" fillId="0" borderId="13" xfId="0" applyNumberFormat="1" applyFont="1" applyBorder="1" applyAlignment="1" applyProtection="1">
      <alignment horizontal="center"/>
      <protection hidden="1"/>
    </xf>
    <xf numFmtId="0" fontId="20" fillId="0" borderId="13" xfId="0" applyFont="1" applyBorder="1" applyProtection="1">
      <protection hidden="1"/>
    </xf>
    <xf numFmtId="2" fontId="16" fillId="0" borderId="13" xfId="0" applyNumberFormat="1" applyFont="1" applyBorder="1" applyAlignment="1" applyProtection="1">
      <alignment horizontal="center"/>
      <protection hidden="1"/>
    </xf>
    <xf numFmtId="0" fontId="12" fillId="0" borderId="3" xfId="0" applyFont="1" applyBorder="1" applyProtection="1">
      <protection hidden="1"/>
    </xf>
    <xf numFmtId="0" fontId="4" fillId="3" borderId="13" xfId="3" applyNumberFormat="1" applyFont="1" applyFill="1" applyBorder="1" applyProtection="1">
      <protection locked="0" hidden="1"/>
    </xf>
    <xf numFmtId="2" fontId="0" fillId="3" borderId="13" xfId="0" applyNumberFormat="1" applyFill="1" applyBorder="1" applyAlignment="1" applyProtection="1">
      <alignment horizontal="center"/>
      <protection locked="0" hidden="1"/>
    </xf>
    <xf numFmtId="0" fontId="0" fillId="0" borderId="12" xfId="0" applyBorder="1" applyAlignment="1" applyProtection="1">
      <alignment horizontal="center"/>
      <protection hidden="1"/>
    </xf>
    <xf numFmtId="0" fontId="5" fillId="3" borderId="13" xfId="0" applyFont="1" applyFill="1" applyBorder="1" applyAlignment="1" applyProtection="1">
      <alignment horizontal="center"/>
      <protection locked="0" hidden="1"/>
    </xf>
    <xf numFmtId="2" fontId="5" fillId="3" borderId="13" xfId="0" applyNumberFormat="1" applyFont="1" applyFill="1" applyBorder="1" applyAlignment="1" applyProtection="1">
      <alignment horizontal="center"/>
      <protection locked="0" hidden="1"/>
    </xf>
    <xf numFmtId="0" fontId="25" fillId="0" borderId="0" xfId="1" applyFont="1" applyAlignment="1" applyProtection="1">
      <alignment horizontal="center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25" fillId="0" borderId="0" xfId="1" applyFont="1" applyBorder="1" applyAlignment="1" applyProtection="1">
      <alignment horizontal="center"/>
      <protection hidden="1"/>
    </xf>
    <xf numFmtId="2" fontId="0" fillId="0" borderId="13" xfId="0" applyNumberFormat="1" applyBorder="1" applyProtection="1">
      <protection hidden="1"/>
    </xf>
    <xf numFmtId="43" fontId="0" fillId="0" borderId="13" xfId="0" applyNumberFormat="1" applyBorder="1" applyProtection="1"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</cellXfs>
  <cellStyles count="4">
    <cellStyle name="Hyperlink" xfId="1" builtinId="8"/>
    <cellStyle name="เครื่องหมายจุลภาค" xfId="2" builtinId="3"/>
    <cellStyle name="ปกติ" xfId="0" builtinId="0"/>
    <cellStyle name="ปกติ_Sheet1" xfId="3"/>
  </cellStyles>
  <dxfs count="0"/>
  <tableStyles count="0" defaultTableStyle="TableStyleMedium9" defaultPivotStyle="PivotStyleLight16"/>
  <colors>
    <mruColors>
      <color rgb="FFF8A2EC"/>
      <color rgb="FFF8A4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BF216"/>
  <sheetViews>
    <sheetView showZeros="0" tabSelected="1" zoomScaleNormal="100" zoomScaleSheetLayoutView="100" workbookViewId="0">
      <selection activeCell="AB54" sqref="AB54"/>
    </sheetView>
  </sheetViews>
  <sheetFormatPr defaultRowHeight="14.25"/>
  <cols>
    <col min="1" max="1" width="5.875" customWidth="1"/>
    <col min="2" max="2" width="5.625" customWidth="1"/>
    <col min="3" max="3" width="33.75" customWidth="1"/>
    <col min="4" max="4" width="11.5" customWidth="1"/>
    <col min="5" max="5" width="9.25" customWidth="1"/>
    <col min="6" max="6" width="9.5" bestFit="1" customWidth="1"/>
    <col min="7" max="7" width="14.5" customWidth="1"/>
    <col min="9" max="9" width="6.125" customWidth="1"/>
    <col min="10" max="10" width="12.5" customWidth="1"/>
    <col min="11" max="11" width="10.75" customWidth="1"/>
    <col min="12" max="12" width="9.125" customWidth="1"/>
    <col min="13" max="13" width="9.5" customWidth="1"/>
    <col min="14" max="14" width="9" customWidth="1"/>
    <col min="15" max="15" width="11.125" customWidth="1"/>
    <col min="16" max="16" width="9.375" customWidth="1"/>
    <col min="17" max="17" width="10.75" customWidth="1"/>
    <col min="18" max="18" width="7.75" customWidth="1"/>
    <col min="19" max="19" width="5.75" customWidth="1"/>
    <col min="20" max="20" width="11" customWidth="1"/>
    <col min="22" max="22" width="9.125" bestFit="1" customWidth="1"/>
    <col min="23" max="23" width="10.25" customWidth="1"/>
    <col min="24" max="24" width="10.75" bestFit="1" customWidth="1"/>
    <col min="25" max="25" width="11" customWidth="1"/>
    <col min="26" max="26" width="9.25" customWidth="1"/>
    <col min="27" max="27" width="10.375" customWidth="1"/>
    <col min="28" max="28" width="6.875" customWidth="1"/>
    <col min="29" max="29" width="22.125" customWidth="1"/>
    <col min="30" max="30" width="10.5" customWidth="1"/>
    <col min="31" max="31" width="9.5" customWidth="1"/>
    <col min="32" max="32" width="9" customWidth="1"/>
    <col min="33" max="33" width="9.5" customWidth="1"/>
    <col min="34" max="34" width="9.625" customWidth="1"/>
    <col min="35" max="35" width="8.375" customWidth="1"/>
    <col min="36" max="36" width="8.625" customWidth="1"/>
    <col min="37" max="37" width="6.5" customWidth="1"/>
    <col min="38" max="38" width="20.5" customWidth="1"/>
    <col min="40" max="40" width="8.375" customWidth="1"/>
    <col min="41" max="41" width="8.25" customWidth="1"/>
    <col min="43" max="43" width="8.125" customWidth="1"/>
    <col min="44" max="44" width="8.5" customWidth="1"/>
    <col min="45" max="45" width="8.625" customWidth="1"/>
    <col min="46" max="48" width="8.25" customWidth="1"/>
    <col min="51" max="51" width="8.25" customWidth="1"/>
    <col min="52" max="52" width="10.375" bestFit="1" customWidth="1"/>
    <col min="53" max="53" width="11.375" customWidth="1"/>
    <col min="54" max="54" width="9.625" customWidth="1"/>
    <col min="55" max="55" width="11.125" customWidth="1"/>
    <col min="56" max="56" width="10" customWidth="1"/>
  </cols>
  <sheetData>
    <row r="1" spans="1:57">
      <c r="A1" s="18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4"/>
      <c r="BB1" s="4"/>
      <c r="BC1" s="4"/>
      <c r="BD1" s="4"/>
      <c r="BE1" s="2"/>
    </row>
    <row r="2" spans="1:57">
      <c r="A2" s="18"/>
      <c r="B2" s="19"/>
      <c r="C2" s="20"/>
      <c r="D2" s="20"/>
      <c r="E2" s="20"/>
      <c r="F2" s="20"/>
      <c r="G2" s="21"/>
      <c r="H2" s="17"/>
      <c r="I2" s="19"/>
      <c r="J2" s="20"/>
      <c r="K2" s="20"/>
      <c r="L2" s="20"/>
      <c r="M2" s="20"/>
      <c r="N2" s="20"/>
      <c r="O2" s="20"/>
      <c r="P2" s="20"/>
      <c r="Q2" s="21"/>
      <c r="R2" s="17"/>
      <c r="S2" s="19"/>
      <c r="T2" s="20"/>
      <c r="U2" s="20"/>
      <c r="V2" s="20"/>
      <c r="W2" s="20"/>
      <c r="X2" s="20"/>
      <c r="Y2" s="20"/>
      <c r="Z2" s="20"/>
      <c r="AA2" s="21"/>
      <c r="AB2" s="17"/>
      <c r="AC2" s="19"/>
      <c r="AD2" s="20"/>
      <c r="AE2" s="20"/>
      <c r="AF2" s="20"/>
      <c r="AG2" s="20"/>
      <c r="AH2" s="20"/>
      <c r="AI2" s="20"/>
      <c r="AJ2" s="21"/>
      <c r="AK2" s="17"/>
      <c r="AL2" s="19"/>
      <c r="AM2" s="20"/>
      <c r="AN2" s="20"/>
      <c r="AO2" s="20"/>
      <c r="AP2" s="20"/>
      <c r="AQ2" s="20"/>
      <c r="AR2" s="20"/>
      <c r="AS2" s="20"/>
      <c r="AT2" s="20"/>
      <c r="AU2" s="20"/>
      <c r="AV2" s="21"/>
      <c r="AW2" s="17"/>
      <c r="AX2" s="17"/>
      <c r="AY2" s="18"/>
      <c r="AZ2" s="18"/>
      <c r="BA2" s="5"/>
      <c r="BB2" s="5"/>
      <c r="BC2" s="5"/>
      <c r="BD2" s="5"/>
      <c r="BE2" s="3"/>
    </row>
    <row r="3" spans="1:57" ht="38.25" customHeight="1">
      <c r="A3" s="18"/>
      <c r="B3" s="22" t="s">
        <v>12</v>
      </c>
      <c r="C3" s="23" t="s">
        <v>325</v>
      </c>
      <c r="D3" s="18"/>
      <c r="E3" s="18"/>
      <c r="F3" s="18"/>
      <c r="G3" s="24"/>
      <c r="H3" s="17"/>
      <c r="I3" s="25"/>
      <c r="J3" s="26" t="s">
        <v>228</v>
      </c>
      <c r="K3" s="18"/>
      <c r="L3" s="18"/>
      <c r="M3" s="18"/>
      <c r="N3" s="18"/>
      <c r="O3" s="18"/>
      <c r="P3" s="18"/>
      <c r="Q3" s="24"/>
      <c r="R3" s="17"/>
      <c r="S3" s="25"/>
      <c r="T3" s="26" t="s">
        <v>233</v>
      </c>
      <c r="U3" s="18"/>
      <c r="V3" s="18"/>
      <c r="W3" s="18"/>
      <c r="X3" s="18"/>
      <c r="Y3" s="18"/>
      <c r="Z3" s="18"/>
      <c r="AA3" s="24"/>
      <c r="AB3" s="17"/>
      <c r="AC3" s="27" t="s">
        <v>230</v>
      </c>
      <c r="AD3" s="18"/>
      <c r="AE3" s="18"/>
      <c r="AF3" s="18"/>
      <c r="AG3" s="18"/>
      <c r="AH3" s="18"/>
      <c r="AI3" s="18"/>
      <c r="AJ3" s="24"/>
      <c r="AK3" s="17"/>
      <c r="AL3" s="27" t="s">
        <v>232</v>
      </c>
      <c r="AM3" s="18"/>
      <c r="AN3" s="18"/>
      <c r="AO3" s="18"/>
      <c r="AP3" s="18"/>
      <c r="AQ3" s="18"/>
      <c r="AR3" s="18"/>
      <c r="AS3" s="18"/>
      <c r="AT3" s="18"/>
      <c r="AU3" s="18"/>
      <c r="AV3" s="24"/>
      <c r="AW3" s="17"/>
      <c r="AX3" s="17"/>
      <c r="AY3" s="28"/>
      <c r="AZ3" s="18"/>
      <c r="BA3" s="5"/>
      <c r="BB3" s="5"/>
      <c r="BC3" s="5"/>
      <c r="BD3" s="5"/>
      <c r="BE3" s="3"/>
    </row>
    <row r="4" spans="1:57" ht="18">
      <c r="A4" s="18"/>
      <c r="B4" s="22"/>
      <c r="C4" s="29" t="s">
        <v>308</v>
      </c>
      <c r="D4" s="18"/>
      <c r="E4" s="18"/>
      <c r="F4" s="18"/>
      <c r="G4" s="24"/>
      <c r="H4" s="17"/>
      <c r="I4" s="30"/>
      <c r="J4" s="31"/>
      <c r="K4" s="31"/>
      <c r="L4" s="31"/>
      <c r="M4" s="31"/>
      <c r="N4" s="31"/>
      <c r="O4" s="31"/>
      <c r="P4" s="31"/>
      <c r="Q4" s="32"/>
      <c r="R4" s="17"/>
      <c r="S4" s="30"/>
      <c r="T4" s="31"/>
      <c r="U4" s="31"/>
      <c r="V4" s="31"/>
      <c r="W4" s="31"/>
      <c r="X4" s="31"/>
      <c r="Y4" s="31"/>
      <c r="Z4" s="31"/>
      <c r="AA4" s="32"/>
      <c r="AB4" s="17"/>
      <c r="AC4" s="33" t="s">
        <v>221</v>
      </c>
      <c r="AD4" s="34" t="s">
        <v>288</v>
      </c>
      <c r="AE4" s="34" t="s">
        <v>289</v>
      </c>
      <c r="AF4" s="35" t="s">
        <v>290</v>
      </c>
      <c r="AG4" s="34" t="s">
        <v>152</v>
      </c>
      <c r="AH4" s="31"/>
      <c r="AI4" s="34" t="s">
        <v>291</v>
      </c>
      <c r="AJ4" s="24"/>
      <c r="AK4" s="17"/>
      <c r="AL4" s="25"/>
      <c r="AM4" s="17"/>
      <c r="AN4" s="17"/>
      <c r="AO4" s="17"/>
      <c r="AP4" s="17"/>
      <c r="AQ4" s="17"/>
      <c r="AR4" s="17"/>
      <c r="AS4" s="17"/>
      <c r="AT4" s="17"/>
      <c r="AU4" s="34"/>
      <c r="AV4" s="24"/>
      <c r="AW4" s="17"/>
      <c r="AX4" s="17"/>
      <c r="AY4" s="18"/>
      <c r="AZ4" s="18"/>
      <c r="BA4" s="5"/>
      <c r="BB4" s="5"/>
      <c r="BC4" s="5"/>
      <c r="BD4" s="5"/>
      <c r="BE4" s="3"/>
    </row>
    <row r="5" spans="1:57" ht="18">
      <c r="A5" s="18"/>
      <c r="B5" s="22"/>
      <c r="C5" s="29"/>
      <c r="D5" s="18"/>
      <c r="E5" s="18"/>
      <c r="F5" s="18"/>
      <c r="G5" s="24"/>
      <c r="H5" s="17"/>
      <c r="I5" s="36">
        <v>1.1000000000000001</v>
      </c>
      <c r="J5" s="37" t="s">
        <v>15</v>
      </c>
      <c r="K5" s="37"/>
      <c r="L5" s="17"/>
      <c r="M5" s="17"/>
      <c r="N5" s="17"/>
      <c r="O5" s="17"/>
      <c r="P5" s="17"/>
      <c r="Q5" s="24"/>
      <c r="R5" s="17"/>
      <c r="S5" s="36">
        <v>2.1</v>
      </c>
      <c r="T5" s="37" t="s">
        <v>117</v>
      </c>
      <c r="U5" s="37"/>
      <c r="V5" s="17"/>
      <c r="W5" s="17"/>
      <c r="X5" s="17"/>
      <c r="Y5" s="17"/>
      <c r="Z5" s="17"/>
      <c r="AA5" s="24"/>
      <c r="AB5" s="17"/>
      <c r="AC5" s="36" t="s">
        <v>152</v>
      </c>
      <c r="AD5" s="38" t="s">
        <v>188</v>
      </c>
      <c r="AE5" s="38" t="s">
        <v>302</v>
      </c>
      <c r="AF5" s="38" t="s">
        <v>300</v>
      </c>
      <c r="AG5" s="38" t="s">
        <v>299</v>
      </c>
      <c r="AH5" s="39" t="s">
        <v>301</v>
      </c>
      <c r="AI5" s="38" t="s">
        <v>320</v>
      </c>
      <c r="AJ5" s="40" t="s">
        <v>320</v>
      </c>
      <c r="AK5" s="17"/>
      <c r="AL5" s="41" t="s">
        <v>152</v>
      </c>
      <c r="AM5" s="42" t="s">
        <v>191</v>
      </c>
      <c r="AN5" s="42" t="s">
        <v>9</v>
      </c>
      <c r="AO5" s="42" t="s">
        <v>192</v>
      </c>
      <c r="AP5" s="42" t="s">
        <v>193</v>
      </c>
      <c r="AQ5" s="42" t="s">
        <v>199</v>
      </c>
      <c r="AR5" s="42" t="s">
        <v>194</v>
      </c>
      <c r="AS5" s="42" t="s">
        <v>195</v>
      </c>
      <c r="AT5" s="42" t="s">
        <v>196</v>
      </c>
      <c r="AU5" s="42" t="s">
        <v>197</v>
      </c>
      <c r="AV5" s="43" t="s">
        <v>198</v>
      </c>
      <c r="AW5" s="17"/>
      <c r="AX5" s="17"/>
      <c r="AY5" s="18"/>
      <c r="AZ5" s="18"/>
      <c r="BA5" s="5"/>
      <c r="BB5" s="5"/>
      <c r="BC5" s="5"/>
      <c r="BD5" s="5"/>
      <c r="BE5" s="3"/>
    </row>
    <row r="6" spans="1:57" ht="18">
      <c r="A6" s="18"/>
      <c r="B6" s="22"/>
      <c r="C6" s="28" t="s">
        <v>309</v>
      </c>
      <c r="D6" s="18"/>
      <c r="E6" s="18"/>
      <c r="F6" s="18"/>
      <c r="G6" s="24"/>
      <c r="H6" s="17"/>
      <c r="I6" s="25"/>
      <c r="J6" s="17"/>
      <c r="K6" s="17"/>
      <c r="L6" s="17"/>
      <c r="M6" s="17"/>
      <c r="N6" s="17"/>
      <c r="O6" s="17"/>
      <c r="P6" s="17"/>
      <c r="Q6" s="24"/>
      <c r="R6" s="17"/>
      <c r="S6" s="25"/>
      <c r="T6" s="17"/>
      <c r="U6" s="17"/>
      <c r="V6" s="17"/>
      <c r="W6" s="17"/>
      <c r="X6" s="17"/>
      <c r="Y6" s="17"/>
      <c r="Z6" s="17"/>
      <c r="AA6" s="24"/>
      <c r="AB6" s="17"/>
      <c r="AC6" s="44"/>
      <c r="AD6" s="45" t="s">
        <v>62</v>
      </c>
      <c r="AE6" s="46" t="s">
        <v>75</v>
      </c>
      <c r="AF6" s="46" t="s">
        <v>239</v>
      </c>
      <c r="AG6" s="46" t="s">
        <v>240</v>
      </c>
      <c r="AH6" s="46" t="s">
        <v>241</v>
      </c>
      <c r="AI6" s="47" t="s">
        <v>154</v>
      </c>
      <c r="AJ6" s="47" t="s">
        <v>155</v>
      </c>
      <c r="AK6" s="17"/>
      <c r="AL6" s="30"/>
      <c r="AM6" s="48" t="s">
        <v>8</v>
      </c>
      <c r="AN6" s="48" t="s">
        <v>10</v>
      </c>
      <c r="AO6" s="48" t="s">
        <v>8</v>
      </c>
      <c r="AP6" s="48" t="s">
        <v>8</v>
      </c>
      <c r="AQ6" s="48" t="s">
        <v>8</v>
      </c>
      <c r="AR6" s="48" t="s">
        <v>8</v>
      </c>
      <c r="AS6" s="48" t="s">
        <v>8</v>
      </c>
      <c r="AT6" s="48" t="s">
        <v>8</v>
      </c>
      <c r="AU6" s="48" t="s">
        <v>8</v>
      </c>
      <c r="AV6" s="49" t="s">
        <v>8</v>
      </c>
      <c r="AW6" s="17"/>
      <c r="AX6" s="17"/>
      <c r="AY6" s="18"/>
      <c r="AZ6" s="50"/>
      <c r="BA6" s="10"/>
      <c r="BB6" s="8"/>
      <c r="BC6" s="8"/>
      <c r="BD6" s="8"/>
      <c r="BE6" s="3"/>
    </row>
    <row r="7" spans="1:57" ht="18">
      <c r="A7" s="18"/>
      <c r="B7" s="51" t="s">
        <v>321</v>
      </c>
      <c r="C7" s="52"/>
      <c r="D7" s="18"/>
      <c r="E7" s="18"/>
      <c r="F7" s="18"/>
      <c r="G7" s="24"/>
      <c r="H7" s="17"/>
      <c r="I7" s="25"/>
      <c r="J7" s="17" t="s">
        <v>38</v>
      </c>
      <c r="K7" s="17"/>
      <c r="L7" s="17"/>
      <c r="M7" s="53">
        <v>8000</v>
      </c>
      <c r="N7" s="17" t="s">
        <v>30</v>
      </c>
      <c r="O7" s="17"/>
      <c r="P7" s="17"/>
      <c r="Q7" s="24"/>
      <c r="R7" s="17"/>
      <c r="S7" s="25"/>
      <c r="T7" s="54" t="s">
        <v>117</v>
      </c>
      <c r="U7" s="17"/>
      <c r="V7" s="17"/>
      <c r="W7" s="55"/>
      <c r="X7" s="56">
        <f>D34</f>
        <v>1920</v>
      </c>
      <c r="Y7" s="17" t="s">
        <v>30</v>
      </c>
      <c r="Z7" s="35"/>
      <c r="AA7" s="24"/>
      <c r="AB7" s="17"/>
      <c r="AC7" s="57" t="s">
        <v>286</v>
      </c>
      <c r="AD7" s="193"/>
      <c r="AE7" s="213">
        <v>4</v>
      </c>
      <c r="AF7" s="213">
        <v>4</v>
      </c>
      <c r="AG7" s="213">
        <v>5</v>
      </c>
      <c r="AH7" s="213">
        <v>5</v>
      </c>
      <c r="AI7" s="213">
        <v>3</v>
      </c>
      <c r="AJ7" s="213">
        <v>4</v>
      </c>
      <c r="AK7" s="17"/>
      <c r="AL7" s="58" t="s">
        <v>236</v>
      </c>
      <c r="AM7" s="59"/>
      <c r="AN7" s="59"/>
      <c r="AO7" s="59"/>
      <c r="AP7" s="59"/>
      <c r="AQ7" s="59"/>
      <c r="AR7" s="59"/>
      <c r="AS7" s="59"/>
      <c r="AT7" s="59"/>
      <c r="AU7" s="59"/>
      <c r="AV7" s="60"/>
      <c r="AW7" s="17"/>
      <c r="AX7" s="17"/>
      <c r="AY7" s="18"/>
      <c r="AZ7" s="18"/>
      <c r="BA7" s="5"/>
      <c r="BB7" s="5"/>
      <c r="BC7" s="5"/>
      <c r="BD7" s="5"/>
      <c r="BE7" s="3"/>
    </row>
    <row r="8" spans="1:57" ht="15">
      <c r="A8" s="18"/>
      <c r="B8" s="61" t="s">
        <v>310</v>
      </c>
      <c r="C8" s="18"/>
      <c r="D8" s="18"/>
      <c r="E8" s="18"/>
      <c r="F8" s="18"/>
      <c r="G8" s="24"/>
      <c r="H8" s="17"/>
      <c r="I8" s="25"/>
      <c r="J8" s="17" t="s">
        <v>39</v>
      </c>
      <c r="K8" s="17"/>
      <c r="L8" s="17"/>
      <c r="M8" s="53">
        <v>5000</v>
      </c>
      <c r="N8" s="17" t="s">
        <v>30</v>
      </c>
      <c r="O8" s="17"/>
      <c r="P8" s="17"/>
      <c r="Q8" s="24"/>
      <c r="R8" s="17"/>
      <c r="S8" s="25"/>
      <c r="T8" s="54" t="s">
        <v>316</v>
      </c>
      <c r="U8" s="17"/>
      <c r="V8" s="17"/>
      <c r="W8" s="55"/>
      <c r="X8" s="87">
        <v>5</v>
      </c>
      <c r="Y8" s="17" t="s">
        <v>0</v>
      </c>
      <c r="Z8" s="35"/>
      <c r="AA8" s="24"/>
      <c r="AB8" s="17"/>
      <c r="AC8" s="25" t="str">
        <f>AL8</f>
        <v>ปลายข้าว</v>
      </c>
      <c r="AD8" s="62">
        <v>12</v>
      </c>
      <c r="AE8" s="214">
        <f>HLOOKUP($AE$7,$AN$52:$AY$74,2,FALSE)</f>
        <v>0</v>
      </c>
      <c r="AF8" s="214">
        <f>HLOOKUP($AF$7,$AN$80:$AY$102,2,FALSE)</f>
        <v>0</v>
      </c>
      <c r="AG8" s="214">
        <f>HLOOKUP($AG$7,$AN$108:$AY$130,2,FALSE)</f>
        <v>0</v>
      </c>
      <c r="AH8" s="214">
        <f>HLOOKUP($AH$7,$AN$136:$AY$158,2,FALSE)</f>
        <v>0</v>
      </c>
      <c r="AI8" s="214">
        <f>HLOOKUP($AI$7,$AN$164:$AY$186,2,FALSE)</f>
        <v>24.55</v>
      </c>
      <c r="AJ8" s="214">
        <f>HLOOKUP($AJ$7,$AN$192:$AY$214,2,FALSE)</f>
        <v>0</v>
      </c>
      <c r="AK8" s="17"/>
      <c r="AL8" s="63" t="s">
        <v>156</v>
      </c>
      <c r="AM8" s="64">
        <v>8</v>
      </c>
      <c r="AN8" s="64">
        <v>3596</v>
      </c>
      <c r="AO8" s="64">
        <v>0.03</v>
      </c>
      <c r="AP8" s="64">
        <v>0.04</v>
      </c>
      <c r="AQ8" s="64">
        <v>0.27</v>
      </c>
      <c r="AR8" s="64">
        <v>0.32</v>
      </c>
      <c r="AS8" s="64">
        <v>0.1</v>
      </c>
      <c r="AT8" s="64">
        <v>0.36</v>
      </c>
      <c r="AU8" s="64">
        <v>0.9</v>
      </c>
      <c r="AV8" s="64">
        <v>1</v>
      </c>
      <c r="AW8" s="17"/>
      <c r="AX8" s="17"/>
      <c r="AY8" s="18"/>
      <c r="AZ8" s="59"/>
      <c r="BA8" s="6"/>
      <c r="BB8" s="7"/>
      <c r="BC8" s="7"/>
      <c r="BD8" s="7"/>
      <c r="BE8" s="3"/>
    </row>
    <row r="9" spans="1:57" ht="15">
      <c r="A9" s="18"/>
      <c r="B9" s="65" t="s">
        <v>311</v>
      </c>
      <c r="C9" s="18"/>
      <c r="D9" s="18"/>
      <c r="E9" s="18"/>
      <c r="F9" s="18"/>
      <c r="G9" s="24"/>
      <c r="H9" s="17"/>
      <c r="I9" s="25"/>
      <c r="J9" s="17" t="s">
        <v>40</v>
      </c>
      <c r="K9" s="17"/>
      <c r="L9" s="17"/>
      <c r="M9" s="66">
        <f>M7-M8</f>
        <v>3000</v>
      </c>
      <c r="N9" s="17" t="s">
        <v>30</v>
      </c>
      <c r="O9" s="17"/>
      <c r="P9" s="17"/>
      <c r="Q9" s="24"/>
      <c r="R9" s="17"/>
      <c r="S9" s="25"/>
      <c r="T9" s="54"/>
      <c r="U9" s="17"/>
      <c r="V9" s="17"/>
      <c r="W9" s="55"/>
      <c r="X9" s="17"/>
      <c r="Y9" s="17"/>
      <c r="Z9" s="35"/>
      <c r="AA9" s="24"/>
      <c r="AB9" s="17"/>
      <c r="AC9" s="25" t="str">
        <f t="shared" ref="AC9:AC21" si="0">AL9</f>
        <v>ข้าวโพด</v>
      </c>
      <c r="AD9" s="62">
        <v>8.8000000000000007</v>
      </c>
      <c r="AE9" s="214">
        <f>HLOOKUP($AE$7,$AN$52:$AY$74,3,FALSE)</f>
        <v>0</v>
      </c>
      <c r="AF9" s="214">
        <f>HLOOKUP($AF$7,$AN$80:$AY$102,3,FALSE)</f>
        <v>0</v>
      </c>
      <c r="AG9" s="214">
        <f>HLOOKUP($AG$7,$AN$108:$AY$130,3,FALSE)</f>
        <v>0</v>
      </c>
      <c r="AH9" s="214">
        <f>HLOOKUP($AH$7,$AN$136:$AY$158,3,FALSE)</f>
        <v>0</v>
      </c>
      <c r="AI9" s="214">
        <f>HLOOKUP($AI$7,$AN$164:$AY$186,3,FALSE)</f>
        <v>0</v>
      </c>
      <c r="AJ9" s="214">
        <f>HLOOKUP($AJ$7,$AN$192:$AY$214,3,FALSE)</f>
        <v>0</v>
      </c>
      <c r="AK9" s="34"/>
      <c r="AL9" s="63" t="s">
        <v>157</v>
      </c>
      <c r="AM9" s="64">
        <v>8</v>
      </c>
      <c r="AN9" s="64">
        <v>3300</v>
      </c>
      <c r="AO9" s="64">
        <v>0.01</v>
      </c>
      <c r="AP9" s="64">
        <v>0.1</v>
      </c>
      <c r="AQ9" s="64">
        <v>0.25</v>
      </c>
      <c r="AR9" s="64">
        <v>0.39</v>
      </c>
      <c r="AS9" s="64">
        <v>0.09</v>
      </c>
      <c r="AT9" s="64">
        <v>0.32</v>
      </c>
      <c r="AU9" s="64">
        <v>3</v>
      </c>
      <c r="AV9" s="64">
        <v>2.5</v>
      </c>
      <c r="AW9" s="17"/>
      <c r="AX9" s="17"/>
      <c r="AY9" s="18"/>
      <c r="AZ9" s="59"/>
      <c r="BA9" s="6"/>
      <c r="BB9" s="6"/>
      <c r="BC9" s="6"/>
      <c r="BD9" s="6"/>
      <c r="BE9" s="3"/>
    </row>
    <row r="10" spans="1:57" ht="15">
      <c r="A10" s="18"/>
      <c r="B10" s="67"/>
      <c r="C10" s="18"/>
      <c r="D10" s="18"/>
      <c r="E10" s="18"/>
      <c r="F10" s="18"/>
      <c r="G10" s="24"/>
      <c r="H10" s="17"/>
      <c r="I10" s="25"/>
      <c r="J10" s="17" t="s">
        <v>200</v>
      </c>
      <c r="K10" s="17"/>
      <c r="L10" s="17"/>
      <c r="M10" s="68">
        <v>8.1999999999999993</v>
      </c>
      <c r="N10" s="17"/>
      <c r="O10" s="17"/>
      <c r="P10" s="17"/>
      <c r="Q10" s="24"/>
      <c r="R10" s="17"/>
      <c r="S10" s="25"/>
      <c r="T10" s="54" t="s">
        <v>317</v>
      </c>
      <c r="U10" s="17"/>
      <c r="V10" s="17"/>
      <c r="W10" s="55"/>
      <c r="X10" s="69">
        <f>X7/((100-X8)/100)</f>
        <v>2021.0526315789475</v>
      </c>
      <c r="Y10" s="17" t="s">
        <v>30</v>
      </c>
      <c r="Z10" s="35" t="s">
        <v>215</v>
      </c>
      <c r="AA10" s="24"/>
      <c r="AB10" s="17"/>
      <c r="AC10" s="25" t="str">
        <f t="shared" si="0"/>
        <v>มันสำปะหลัง</v>
      </c>
      <c r="AD10" s="62">
        <v>7.5</v>
      </c>
      <c r="AE10" s="214">
        <f>HLOOKUP($AE$7,$AN$52:$AY$74,4,FALSE)</f>
        <v>43.95</v>
      </c>
      <c r="AF10" s="214">
        <f>HLOOKUP($AF$7,$AN$80:$AY$102,4,FALSE)</f>
        <v>42.95</v>
      </c>
      <c r="AG10" s="214">
        <f>HLOOKUP($AG$7,$AN$108:$AY$130,4,FALSE)</f>
        <v>36.549999999999997</v>
      </c>
      <c r="AH10" s="214">
        <f>HLOOKUP($AH$7,$AN$136:$AY$158,4,FALSE)</f>
        <v>50.35</v>
      </c>
      <c r="AI10" s="214">
        <f>HLOOKUP($AI$7,$AN$164:$AY$186,4,FALSE)</f>
        <v>30</v>
      </c>
      <c r="AJ10" s="214">
        <f>HLOOKUP($AJ$7,$AN$192:$AY$214,4,FALSE)</f>
        <v>44.5</v>
      </c>
      <c r="AK10" s="17"/>
      <c r="AL10" s="63" t="s">
        <v>158</v>
      </c>
      <c r="AM10" s="64">
        <v>2</v>
      </c>
      <c r="AN10" s="64">
        <v>3360</v>
      </c>
      <c r="AO10" s="64">
        <v>0.12</v>
      </c>
      <c r="AP10" s="64">
        <v>0.05</v>
      </c>
      <c r="AQ10" s="64">
        <v>0.09</v>
      </c>
      <c r="AR10" s="64">
        <v>0.06</v>
      </c>
      <c r="AS10" s="64">
        <v>0.02</v>
      </c>
      <c r="AT10" s="64">
        <v>7.0000000000000007E-2</v>
      </c>
      <c r="AU10" s="64">
        <v>0.75</v>
      </c>
      <c r="AV10" s="64">
        <v>4</v>
      </c>
      <c r="AW10" s="17"/>
      <c r="AX10" s="17"/>
      <c r="AY10" s="18"/>
      <c r="AZ10" s="70"/>
      <c r="BA10" s="10"/>
      <c r="BB10" s="8"/>
      <c r="BC10" s="8"/>
      <c r="BD10" s="8"/>
      <c r="BE10" s="3"/>
    </row>
    <row r="11" spans="1:57">
      <c r="A11" s="18"/>
      <c r="B11" s="71"/>
      <c r="C11" s="20"/>
      <c r="D11" s="20"/>
      <c r="E11" s="20"/>
      <c r="F11" s="20"/>
      <c r="G11" s="21"/>
      <c r="H11" s="17"/>
      <c r="I11" s="25"/>
      <c r="J11" s="17" t="s">
        <v>41</v>
      </c>
      <c r="K11" s="17"/>
      <c r="L11" s="17"/>
      <c r="M11" s="68">
        <v>2.2000000000000002</v>
      </c>
      <c r="N11" s="17"/>
      <c r="O11" s="17"/>
      <c r="P11" s="17"/>
      <c r="Q11" s="24"/>
      <c r="R11" s="17"/>
      <c r="S11" s="30"/>
      <c r="T11" s="31"/>
      <c r="U11" s="31"/>
      <c r="V11" s="31"/>
      <c r="W11" s="31"/>
      <c r="X11" s="31"/>
      <c r="Y11" s="31"/>
      <c r="Z11" s="31"/>
      <c r="AA11" s="32"/>
      <c r="AB11" s="17"/>
      <c r="AC11" s="25" t="str">
        <f t="shared" si="0"/>
        <v>รำละเอียด</v>
      </c>
      <c r="AD11" s="62">
        <v>7.8</v>
      </c>
      <c r="AE11" s="214">
        <f>HLOOKUP($AE$7,$AN$52:$AY$74,5,FALSE)</f>
        <v>0</v>
      </c>
      <c r="AF11" s="214">
        <f>HLOOKUP($AF$7,$AN$80:$AY$102,5,FALSE)</f>
        <v>10</v>
      </c>
      <c r="AG11" s="214">
        <f>HLOOKUP($AG$7,$AN$108:$AY$130,5,FALSE)</f>
        <v>10</v>
      </c>
      <c r="AH11" s="214">
        <f>HLOOKUP($AH$7,$AN$136:$AY$158,5,FALSE)</f>
        <v>0</v>
      </c>
      <c r="AI11" s="214">
        <f>HLOOKUP($AI$7,$AN$164:$AY$186,5,FALSE)</f>
        <v>0</v>
      </c>
      <c r="AJ11" s="214">
        <f>HLOOKUP($AJ$7,$AN$192:$AY$214,5,FALSE)</f>
        <v>0</v>
      </c>
      <c r="AK11" s="17"/>
      <c r="AL11" s="72" t="s">
        <v>159</v>
      </c>
      <c r="AM11" s="64">
        <v>12</v>
      </c>
      <c r="AN11" s="64">
        <v>3210</v>
      </c>
      <c r="AO11" s="64">
        <v>0.06</v>
      </c>
      <c r="AP11" s="64">
        <v>0.47</v>
      </c>
      <c r="AQ11" s="64">
        <v>0.55000000000000004</v>
      </c>
      <c r="AR11" s="64">
        <v>0.5</v>
      </c>
      <c r="AS11" s="64">
        <v>0.1</v>
      </c>
      <c r="AT11" s="64">
        <v>0.4</v>
      </c>
      <c r="AU11" s="64">
        <v>12</v>
      </c>
      <c r="AV11" s="64">
        <v>12</v>
      </c>
      <c r="AW11" s="17"/>
      <c r="AX11" s="17"/>
      <c r="AY11" s="18"/>
      <c r="AZ11" s="70"/>
      <c r="BA11" s="10"/>
      <c r="BB11" s="8"/>
      <c r="BC11" s="8"/>
      <c r="BD11" s="8"/>
      <c r="BE11" s="3"/>
    </row>
    <row r="12" spans="1:57" ht="15">
      <c r="A12" s="18"/>
      <c r="B12" s="65"/>
      <c r="C12" s="26" t="s">
        <v>264</v>
      </c>
      <c r="D12" s="18"/>
      <c r="E12" s="18"/>
      <c r="F12" s="18"/>
      <c r="G12" s="73" t="s">
        <v>295</v>
      </c>
      <c r="H12" s="17"/>
      <c r="I12" s="25"/>
      <c r="J12" s="17" t="s">
        <v>201</v>
      </c>
      <c r="K12" s="17"/>
      <c r="L12" s="17"/>
      <c r="M12" s="17">
        <f>M10*M11</f>
        <v>18.04</v>
      </c>
      <c r="N12" s="17"/>
      <c r="O12" s="17"/>
      <c r="P12" s="17"/>
      <c r="Q12" s="24"/>
      <c r="R12" s="17"/>
      <c r="S12" s="36">
        <v>2.2000000000000002</v>
      </c>
      <c r="T12" s="37" t="s">
        <v>118</v>
      </c>
      <c r="U12" s="17"/>
      <c r="V12" s="17"/>
      <c r="W12" s="17"/>
      <c r="X12" s="17"/>
      <c r="Y12" s="17"/>
      <c r="Z12" s="17"/>
      <c r="AA12" s="24"/>
      <c r="AB12" s="17"/>
      <c r="AC12" s="25" t="str">
        <f t="shared" si="0"/>
        <v>รำสกัด</v>
      </c>
      <c r="AD12" s="62">
        <v>6</v>
      </c>
      <c r="AE12" s="214">
        <f>HLOOKUP($AE$7,$AN$52:$AY$74,6,FALSE)</f>
        <v>0</v>
      </c>
      <c r="AF12" s="214">
        <f>HLOOKUP($AF$7,$AN$80:$AY$102,6,FALSE)</f>
        <v>0</v>
      </c>
      <c r="AG12" s="214">
        <f>HLOOKUP($AG$7,$AN$108:$AY$130,6,FALSE)</f>
        <v>0</v>
      </c>
      <c r="AH12" s="214">
        <f>HLOOKUP($AH$7,$AN$136:$AY$158,6,FALSE)</f>
        <v>0</v>
      </c>
      <c r="AI12" s="214">
        <f>HLOOKUP($AI$7,$AN$164:$AY$186,6,FALSE)</f>
        <v>0</v>
      </c>
      <c r="AJ12" s="214">
        <f>HLOOKUP($AJ$7,$AN$192:$AY$214,6,FALSE)</f>
        <v>0</v>
      </c>
      <c r="AK12" s="17"/>
      <c r="AL12" s="207" t="s">
        <v>281</v>
      </c>
      <c r="AM12" s="64">
        <v>16</v>
      </c>
      <c r="AN12" s="64">
        <v>2700</v>
      </c>
      <c r="AO12" s="64">
        <v>0.08</v>
      </c>
      <c r="AP12" s="64">
        <v>0.5</v>
      </c>
      <c r="AQ12" s="64">
        <v>0.63</v>
      </c>
      <c r="AR12" s="64">
        <v>0.55000000000000004</v>
      </c>
      <c r="AS12" s="64">
        <v>0.14000000000000001</v>
      </c>
      <c r="AT12" s="64">
        <v>0.54</v>
      </c>
      <c r="AU12" s="64">
        <v>1</v>
      </c>
      <c r="AV12" s="64">
        <v>10</v>
      </c>
      <c r="AW12" s="59"/>
      <c r="AX12" s="59"/>
      <c r="AY12" s="18"/>
      <c r="AZ12" s="74"/>
      <c r="BA12" s="10"/>
      <c r="BB12" s="9"/>
      <c r="BC12" s="11"/>
      <c r="BD12" s="9"/>
      <c r="BE12" s="3"/>
    </row>
    <row r="13" spans="1:57">
      <c r="A13" s="18"/>
      <c r="B13" s="67"/>
      <c r="C13" s="31"/>
      <c r="D13" s="31"/>
      <c r="E13" s="31"/>
      <c r="F13" s="31"/>
      <c r="G13" s="32"/>
      <c r="H13" s="17"/>
      <c r="I13" s="25"/>
      <c r="J13" s="17" t="s">
        <v>42</v>
      </c>
      <c r="K13" s="17"/>
      <c r="L13" s="17"/>
      <c r="M13" s="68">
        <v>3</v>
      </c>
      <c r="N13" s="17" t="s">
        <v>202</v>
      </c>
      <c r="O13" s="17"/>
      <c r="P13" s="17"/>
      <c r="Q13" s="24"/>
      <c r="R13" s="17"/>
      <c r="S13" s="36"/>
      <c r="T13" s="37"/>
      <c r="U13" s="17"/>
      <c r="V13" s="17"/>
      <c r="W13" s="17"/>
      <c r="X13" s="17"/>
      <c r="Y13" s="17"/>
      <c r="Z13" s="17"/>
      <c r="AA13" s="24"/>
      <c r="AB13" s="17"/>
      <c r="AC13" s="25" t="str">
        <f t="shared" si="0"/>
        <v>กากถั่วเหลือง (44%)</v>
      </c>
      <c r="AD13" s="62">
        <v>14</v>
      </c>
      <c r="AE13" s="214">
        <f>HLOOKUP($AE$7,$AN$52:$AY$74,7,FALSE)</f>
        <v>0</v>
      </c>
      <c r="AF13" s="214">
        <f>HLOOKUP($AF$7,$AN$80:$AY$102,7,FALSE)</f>
        <v>32</v>
      </c>
      <c r="AG13" s="214">
        <f>HLOOKUP($AG$7,$AN$108:$AY$130,7,FALSE)</f>
        <v>0</v>
      </c>
      <c r="AH13" s="214">
        <f>HLOOKUP($AH$7,$AN$136:$AY$158,7,FALSE)</f>
        <v>20</v>
      </c>
      <c r="AI13" s="214">
        <f>HLOOKUP($AI$7,$AN$164:$AY$186,7,FALSE)</f>
        <v>21</v>
      </c>
      <c r="AJ13" s="214">
        <f>HLOOKUP($AJ$7,$AN$192:$AY$214,7,FALSE)</f>
        <v>24.5</v>
      </c>
      <c r="AK13" s="17"/>
      <c r="AL13" s="72" t="s">
        <v>160</v>
      </c>
      <c r="AM13" s="64">
        <v>44</v>
      </c>
      <c r="AN13" s="64">
        <v>3220</v>
      </c>
      <c r="AO13" s="64">
        <v>0.25</v>
      </c>
      <c r="AP13" s="64">
        <v>0.2</v>
      </c>
      <c r="AQ13" s="64">
        <v>2.73</v>
      </c>
      <c r="AR13" s="64">
        <v>1.26</v>
      </c>
      <c r="AS13" s="64">
        <v>0.59</v>
      </c>
      <c r="AT13" s="64">
        <v>1.72</v>
      </c>
      <c r="AU13" s="64">
        <v>0.5</v>
      </c>
      <c r="AV13" s="64">
        <v>7</v>
      </c>
      <c r="AW13" s="25"/>
      <c r="AX13" s="75"/>
      <c r="AY13" s="76"/>
      <c r="AZ13" s="70"/>
      <c r="BA13" s="12"/>
      <c r="BB13" s="8"/>
      <c r="BC13" s="3"/>
      <c r="BD13" s="1"/>
      <c r="BE13" s="1"/>
    </row>
    <row r="14" spans="1:57">
      <c r="A14" s="18"/>
      <c r="B14" s="65"/>
      <c r="C14" s="18"/>
      <c r="D14" s="18"/>
      <c r="E14" s="18"/>
      <c r="F14" s="18"/>
      <c r="G14" s="24"/>
      <c r="H14" s="17"/>
      <c r="I14" s="25"/>
      <c r="J14" s="17" t="s">
        <v>43</v>
      </c>
      <c r="K14" s="17"/>
      <c r="L14" s="17"/>
      <c r="M14" s="17">
        <f>M12*M13</f>
        <v>54.12</v>
      </c>
      <c r="N14" s="17" t="s">
        <v>44</v>
      </c>
      <c r="O14" s="17"/>
      <c r="P14" s="17"/>
      <c r="Q14" s="24"/>
      <c r="R14" s="17"/>
      <c r="S14" s="25"/>
      <c r="T14" s="77"/>
      <c r="U14" s="42" t="s">
        <v>68</v>
      </c>
      <c r="V14" s="42" t="s">
        <v>69</v>
      </c>
      <c r="W14" s="42" t="s">
        <v>1</v>
      </c>
      <c r="X14" s="42" t="s">
        <v>72</v>
      </c>
      <c r="Y14" s="42" t="s">
        <v>119</v>
      </c>
      <c r="Z14" s="43" t="s">
        <v>118</v>
      </c>
      <c r="AA14" s="24"/>
      <c r="AB14" s="17"/>
      <c r="AC14" s="25" t="str">
        <f t="shared" si="0"/>
        <v>กากถั่วเหลือง(49%)</v>
      </c>
      <c r="AD14" s="62">
        <v>15</v>
      </c>
      <c r="AE14" s="214">
        <f>HLOOKUP($AE$7,$AN$52:$AY$74,8,FALSE)</f>
        <v>15</v>
      </c>
      <c r="AF14" s="214">
        <f>HLOOKUP($AF$7,$AN$80:$AY$102,8,FALSE)</f>
        <v>0</v>
      </c>
      <c r="AG14" s="214">
        <f>HLOOKUP($AG$7,$AN$108:$AY$130,8,FALSE)</f>
        <v>22.5</v>
      </c>
      <c r="AH14" s="214">
        <f>HLOOKUP($AH$7,$AN$136:$AY$158,8,FALSE)</f>
        <v>0</v>
      </c>
      <c r="AI14" s="214">
        <f>HLOOKUP($AI$7,$AN$164:$AY$186,8,FALSE)</f>
        <v>0</v>
      </c>
      <c r="AJ14" s="214">
        <f>HLOOKUP($AJ$7,$AN$192:$AY$214,8,FALSE)</f>
        <v>0</v>
      </c>
      <c r="AK14" s="17"/>
      <c r="AL14" s="207" t="s">
        <v>283</v>
      </c>
      <c r="AM14" s="64">
        <v>49</v>
      </c>
      <c r="AN14" s="64">
        <v>3385</v>
      </c>
      <c r="AO14" s="64">
        <v>0.25</v>
      </c>
      <c r="AP14" s="64">
        <v>0.2</v>
      </c>
      <c r="AQ14" s="64">
        <v>3.04</v>
      </c>
      <c r="AR14" s="64">
        <v>1.36</v>
      </c>
      <c r="AS14" s="64">
        <v>0.68</v>
      </c>
      <c r="AT14" s="64">
        <v>1.87</v>
      </c>
      <c r="AU14" s="64">
        <v>0.5</v>
      </c>
      <c r="AV14" s="64">
        <v>3.5</v>
      </c>
      <c r="AW14" s="17"/>
      <c r="AX14" s="17"/>
      <c r="AY14" s="18"/>
      <c r="AZ14" s="74"/>
      <c r="BA14" s="10"/>
      <c r="BB14" s="9"/>
      <c r="BC14" s="11"/>
      <c r="BD14" s="9"/>
      <c r="BE14" s="3"/>
    </row>
    <row r="15" spans="1:57" ht="15">
      <c r="A15" s="78"/>
      <c r="B15" s="79" t="s">
        <v>315</v>
      </c>
      <c r="C15" s="18"/>
      <c r="D15" s="59"/>
      <c r="E15" s="59"/>
      <c r="F15" s="59"/>
      <c r="G15" s="73" t="s">
        <v>296</v>
      </c>
      <c r="H15" s="17"/>
      <c r="I15" s="25"/>
      <c r="J15" s="17"/>
      <c r="K15" s="17"/>
      <c r="L15" s="17"/>
      <c r="M15" s="17"/>
      <c r="N15" s="17"/>
      <c r="O15" s="17"/>
      <c r="P15" s="17"/>
      <c r="Q15" s="24"/>
      <c r="R15" s="17"/>
      <c r="S15" s="25"/>
      <c r="T15" s="80"/>
      <c r="U15" s="48" t="s">
        <v>70</v>
      </c>
      <c r="V15" s="48" t="s">
        <v>70</v>
      </c>
      <c r="W15" s="48"/>
      <c r="X15" s="48" t="s">
        <v>70</v>
      </c>
      <c r="Y15" s="48" t="s">
        <v>120</v>
      </c>
      <c r="Z15" s="49" t="s">
        <v>121</v>
      </c>
      <c r="AA15" s="24"/>
      <c r="AB15" s="17"/>
      <c r="AC15" s="25" t="str">
        <f t="shared" si="0"/>
        <v>ถั่วเหลืองเอ็กทรูด (ถั่วอบ)</v>
      </c>
      <c r="AD15" s="62">
        <v>16</v>
      </c>
      <c r="AE15" s="214">
        <f>HLOOKUP($AE$7,$AN$52:$AY$74,9,FALSE)</f>
        <v>28.15</v>
      </c>
      <c r="AF15" s="214">
        <f>HLOOKUP($AF$7,$AN$80:$AY$102,9,FALSE)</f>
        <v>10</v>
      </c>
      <c r="AG15" s="214">
        <f>HLOOKUP($AG$7,$AN$108:$AY$130,9,FALSE)</f>
        <v>10</v>
      </c>
      <c r="AH15" s="214">
        <f>HLOOKUP($AH$7,$AN$136:$AY$158,9,FALSE)</f>
        <v>10</v>
      </c>
      <c r="AI15" s="214">
        <f>HLOOKUP($AI$7,$AN$164:$AY$186,9,FALSE)</f>
        <v>0</v>
      </c>
      <c r="AJ15" s="214">
        <f>HLOOKUP($AJ$7,$AN$192:$AY$214,9,FALSE)</f>
        <v>10</v>
      </c>
      <c r="AK15" s="17"/>
      <c r="AL15" s="63" t="s">
        <v>186</v>
      </c>
      <c r="AM15" s="64">
        <v>38</v>
      </c>
      <c r="AN15" s="64">
        <v>3540</v>
      </c>
      <c r="AO15" s="64">
        <v>0.25</v>
      </c>
      <c r="AP15" s="64">
        <v>0.2</v>
      </c>
      <c r="AQ15" s="64">
        <v>2.4</v>
      </c>
      <c r="AR15" s="64">
        <v>1.0900000000000001</v>
      </c>
      <c r="AS15" s="64">
        <v>0.52</v>
      </c>
      <c r="AT15" s="64">
        <v>1.69</v>
      </c>
      <c r="AU15" s="64">
        <v>18</v>
      </c>
      <c r="AV15" s="64">
        <v>5</v>
      </c>
      <c r="AW15" s="17"/>
      <c r="AX15" s="17"/>
      <c r="AY15" s="18"/>
      <c r="AZ15" s="81"/>
      <c r="BA15" s="10"/>
      <c r="BB15" s="9"/>
      <c r="BC15" s="11"/>
      <c r="BD15" s="9"/>
      <c r="BE15" s="3"/>
    </row>
    <row r="16" spans="1:57" ht="15">
      <c r="A16" s="78"/>
      <c r="B16" s="82"/>
      <c r="C16" s="31"/>
      <c r="D16" s="48"/>
      <c r="E16" s="48"/>
      <c r="F16" s="48"/>
      <c r="G16" s="49"/>
      <c r="H16" s="17"/>
      <c r="I16" s="25"/>
      <c r="J16" s="83" t="s">
        <v>45</v>
      </c>
      <c r="K16" s="83"/>
      <c r="L16" s="83"/>
      <c r="M16" s="84">
        <f>M9/M14</f>
        <v>55.432372505543242</v>
      </c>
      <c r="N16" s="17" t="s">
        <v>30</v>
      </c>
      <c r="O16" s="17"/>
      <c r="P16" s="35" t="s">
        <v>215</v>
      </c>
      <c r="Q16" s="24"/>
      <c r="R16" s="17"/>
      <c r="S16" s="25"/>
      <c r="T16" s="85" t="s">
        <v>312</v>
      </c>
      <c r="U16" s="86" t="s">
        <v>4</v>
      </c>
      <c r="V16" s="86">
        <v>30</v>
      </c>
      <c r="W16" s="87">
        <v>2.4</v>
      </c>
      <c r="X16" s="86">
        <f>V16*W16</f>
        <v>72</v>
      </c>
      <c r="Y16" s="88">
        <f>AF49</f>
        <v>11.931775</v>
      </c>
      <c r="Z16" s="14">
        <f>X16*Y16</f>
        <v>859.08780000000002</v>
      </c>
      <c r="AA16" s="89" t="s">
        <v>216</v>
      </c>
      <c r="AB16" s="17"/>
      <c r="AC16" s="25" t="str">
        <f t="shared" si="0"/>
        <v>ปลาป่น (58%)</v>
      </c>
      <c r="AD16" s="62">
        <v>35</v>
      </c>
      <c r="AE16" s="214">
        <f>HLOOKUP($AE$7,$AN$52:$AY$74,10,FALSE)</f>
        <v>5</v>
      </c>
      <c r="AF16" s="214">
        <f>HLOOKUP($AF$7,$AN$80:$AY$102,10,FALSE)</f>
        <v>0</v>
      </c>
      <c r="AG16" s="214">
        <f>HLOOKUP($AG$7,$AN$108:$AY$130,10,FALSE)</f>
        <v>0</v>
      </c>
      <c r="AH16" s="214">
        <f>HLOOKUP($AH$7,$AN$136:$AY$158,10,FALSE)</f>
        <v>0</v>
      </c>
      <c r="AI16" s="214">
        <f>HLOOKUP($AI$7,$AN$164:$AY$186,10,FALSE)</f>
        <v>0</v>
      </c>
      <c r="AJ16" s="214">
        <f>HLOOKUP($AJ$7,$AN$192:$AY$214,10,FALSE)</f>
        <v>0</v>
      </c>
      <c r="AK16" s="17"/>
      <c r="AL16" s="63" t="s">
        <v>161</v>
      </c>
      <c r="AM16" s="64">
        <v>58</v>
      </c>
      <c r="AN16" s="64">
        <v>2550</v>
      </c>
      <c r="AO16" s="64">
        <v>6.7</v>
      </c>
      <c r="AP16" s="64">
        <v>2.5</v>
      </c>
      <c r="AQ16" s="64">
        <v>3.95</v>
      </c>
      <c r="AR16" s="64">
        <v>1.73</v>
      </c>
      <c r="AS16" s="64">
        <v>0.46</v>
      </c>
      <c r="AT16" s="64">
        <v>2.13</v>
      </c>
      <c r="AU16" s="64">
        <v>7.5</v>
      </c>
      <c r="AV16" s="64">
        <v>1</v>
      </c>
      <c r="AW16" s="34" t="s">
        <v>215</v>
      </c>
      <c r="AX16" s="17"/>
      <c r="AY16" s="18"/>
      <c r="AZ16" s="81"/>
      <c r="BA16" s="10"/>
      <c r="BB16" s="9"/>
      <c r="BC16" s="11"/>
      <c r="BD16" s="9"/>
      <c r="BE16" s="3"/>
    </row>
    <row r="17" spans="1:57" ht="15">
      <c r="A17" s="17"/>
      <c r="B17" s="77"/>
      <c r="C17" s="17"/>
      <c r="D17" s="90" t="s">
        <v>27</v>
      </c>
      <c r="E17" s="90" t="s">
        <v>28</v>
      </c>
      <c r="F17" s="90" t="s">
        <v>203</v>
      </c>
      <c r="G17" s="91" t="s">
        <v>29</v>
      </c>
      <c r="H17" s="17"/>
      <c r="I17" s="30"/>
      <c r="J17" s="31"/>
      <c r="K17" s="31"/>
      <c r="L17" s="31"/>
      <c r="M17" s="31"/>
      <c r="N17" s="31"/>
      <c r="O17" s="31"/>
      <c r="P17" s="31"/>
      <c r="Q17" s="32"/>
      <c r="R17" s="17"/>
      <c r="S17" s="25"/>
      <c r="T17" s="85" t="s">
        <v>313</v>
      </c>
      <c r="U17" s="86" t="s">
        <v>5</v>
      </c>
      <c r="V17" s="86">
        <v>30</v>
      </c>
      <c r="W17" s="87">
        <v>2.7</v>
      </c>
      <c r="X17" s="86">
        <f>V17*W17</f>
        <v>81</v>
      </c>
      <c r="Y17" s="88">
        <f>AG49</f>
        <v>11.771690000000001</v>
      </c>
      <c r="Z17" s="14">
        <f>X17*Y17</f>
        <v>953.50689000000011</v>
      </c>
      <c r="AA17" s="89" t="s">
        <v>216</v>
      </c>
      <c r="AB17" s="17"/>
      <c r="AC17" s="25" t="str">
        <f t="shared" si="0"/>
        <v>กากเนื้อในปาล์ม</v>
      </c>
      <c r="AD17" s="62">
        <v>8</v>
      </c>
      <c r="AE17" s="214">
        <f>HLOOKUP($AE$7,$AN$52:$AY$74,11,FALSE)</f>
        <v>0</v>
      </c>
      <c r="AF17" s="214">
        <f>HLOOKUP($AF$7,$AN$80:$AY$102,11,FALSE)</f>
        <v>0</v>
      </c>
      <c r="AG17" s="214">
        <f>HLOOKUP($AG$7,$AN$108:$AY$130,11,FALSE)</f>
        <v>15</v>
      </c>
      <c r="AH17" s="214">
        <f>HLOOKUP($AH$7,$AN$136:$AY$158,11,FALSE)</f>
        <v>0</v>
      </c>
      <c r="AI17" s="214">
        <f>HLOOKUP($AI$7,$AN$164:$AY$186,11,FALSE)</f>
        <v>20</v>
      </c>
      <c r="AJ17" s="214">
        <f>HLOOKUP($AJ$7,$AN$192:$AY$214,11,FALSE)</f>
        <v>15</v>
      </c>
      <c r="AK17" s="17"/>
      <c r="AL17" s="63" t="s">
        <v>282</v>
      </c>
      <c r="AM17" s="64">
        <v>16</v>
      </c>
      <c r="AN17" s="64">
        <v>2600</v>
      </c>
      <c r="AO17" s="64">
        <v>0.45</v>
      </c>
      <c r="AP17" s="64">
        <v>0.2</v>
      </c>
      <c r="AQ17" s="64">
        <v>0.53</v>
      </c>
      <c r="AR17" s="64">
        <v>0.45</v>
      </c>
      <c r="AS17" s="64">
        <v>0.12</v>
      </c>
      <c r="AT17" s="64">
        <v>0.5</v>
      </c>
      <c r="AU17" s="64">
        <v>3</v>
      </c>
      <c r="AV17" s="64">
        <v>14</v>
      </c>
      <c r="AW17" s="17"/>
      <c r="AX17" s="17"/>
      <c r="AY17" s="18"/>
      <c r="AZ17" s="18"/>
      <c r="BA17" s="5"/>
      <c r="BB17" s="5"/>
      <c r="BC17" s="5"/>
      <c r="BD17" s="5"/>
      <c r="BE17" s="3"/>
    </row>
    <row r="18" spans="1:57" ht="15">
      <c r="A18" s="17"/>
      <c r="B18" s="92">
        <v>1.1000000000000001</v>
      </c>
      <c r="C18" s="54" t="s">
        <v>15</v>
      </c>
      <c r="D18" s="93">
        <f>M16</f>
        <v>55.432372505543242</v>
      </c>
      <c r="E18" s="86" t="s">
        <v>30</v>
      </c>
      <c r="F18" s="94">
        <f>D18/D30*100</f>
        <v>3.4018028738653205</v>
      </c>
      <c r="G18" s="95" t="s">
        <v>216</v>
      </c>
      <c r="H18" s="17"/>
      <c r="I18" s="36">
        <v>1.2</v>
      </c>
      <c r="J18" s="37" t="s">
        <v>53</v>
      </c>
      <c r="K18" s="17"/>
      <c r="L18" s="17"/>
      <c r="M18" s="17"/>
      <c r="N18" s="17"/>
      <c r="O18" s="17"/>
      <c r="P18" s="17"/>
      <c r="Q18" s="24"/>
      <c r="R18" s="17"/>
      <c r="S18" s="25"/>
      <c r="T18" s="80" t="s">
        <v>314</v>
      </c>
      <c r="U18" s="48" t="s">
        <v>6</v>
      </c>
      <c r="V18" s="48">
        <v>20</v>
      </c>
      <c r="W18" s="96">
        <v>3.5</v>
      </c>
      <c r="X18" s="48">
        <f>V18*W18</f>
        <v>70</v>
      </c>
      <c r="Y18" s="97">
        <f>AH49</f>
        <v>11.25577</v>
      </c>
      <c r="Z18" s="98">
        <f>X18*Y18</f>
        <v>787.90390000000002</v>
      </c>
      <c r="AA18" s="89" t="s">
        <v>216</v>
      </c>
      <c r="AB18" s="17"/>
      <c r="AC18" s="25" t="str">
        <f t="shared" si="0"/>
        <v>DDGS</v>
      </c>
      <c r="AD18" s="62">
        <v>9</v>
      </c>
      <c r="AE18" s="214">
        <f>HLOOKUP($AE$7,$AN$52:$AY$74,12,FALSE)</f>
        <v>0</v>
      </c>
      <c r="AF18" s="214">
        <f>HLOOKUP($AF$7,$AN$80:$AY$102,12,FALSE)</f>
        <v>0</v>
      </c>
      <c r="AG18" s="214">
        <f>HLOOKUP($AG$7,$AN$108:$AY$130,12,FALSE)</f>
        <v>0</v>
      </c>
      <c r="AH18" s="214">
        <f>HLOOKUP($AH$7,$AN$136:$AY$158,12,FALSE)</f>
        <v>15</v>
      </c>
      <c r="AI18" s="214">
        <f>HLOOKUP($AI$7,$AN$164:$AY$186,12,FALSE)</f>
        <v>0</v>
      </c>
      <c r="AJ18" s="214">
        <f>HLOOKUP($AJ$7,$AN$192:$AY$214,12,FALSE)</f>
        <v>0</v>
      </c>
      <c r="AK18" s="34" t="s">
        <v>293</v>
      </c>
      <c r="AL18" s="63" t="s">
        <v>11</v>
      </c>
      <c r="AM18" s="64">
        <v>28</v>
      </c>
      <c r="AN18" s="64">
        <v>3350</v>
      </c>
      <c r="AO18" s="64">
        <v>0.14000000000000001</v>
      </c>
      <c r="AP18" s="64">
        <v>0.66</v>
      </c>
      <c r="AQ18" s="64">
        <v>0.7</v>
      </c>
      <c r="AR18" s="64">
        <v>0.78</v>
      </c>
      <c r="AS18" s="64">
        <v>0.17</v>
      </c>
      <c r="AT18" s="64">
        <v>0.92</v>
      </c>
      <c r="AU18" s="64">
        <v>9.3000000000000007</v>
      </c>
      <c r="AV18" s="64">
        <v>9.1</v>
      </c>
      <c r="AW18" s="17"/>
      <c r="AX18" s="17"/>
      <c r="AY18" s="18"/>
      <c r="AZ18" s="18"/>
      <c r="BA18" s="5"/>
      <c r="BB18" s="5"/>
      <c r="BC18" s="5"/>
      <c r="BD18" s="5"/>
      <c r="BE18" s="3"/>
    </row>
    <row r="19" spans="1:57">
      <c r="A19" s="17"/>
      <c r="B19" s="92">
        <v>1.2</v>
      </c>
      <c r="C19" s="54" t="s">
        <v>16</v>
      </c>
      <c r="D19" s="93">
        <f>N25</f>
        <v>30.487804878048784</v>
      </c>
      <c r="E19" s="86" t="s">
        <v>30</v>
      </c>
      <c r="F19" s="94">
        <f>D19/D30*100</f>
        <v>1.8709915806259265</v>
      </c>
      <c r="G19" s="95" t="s">
        <v>216</v>
      </c>
      <c r="H19" s="17"/>
      <c r="I19" s="25"/>
      <c r="J19" s="17"/>
      <c r="K19" s="17"/>
      <c r="L19" s="17"/>
      <c r="M19" s="17"/>
      <c r="N19" s="17"/>
      <c r="O19" s="17"/>
      <c r="P19" s="17"/>
      <c r="Q19" s="24"/>
      <c r="R19" s="17"/>
      <c r="S19" s="25"/>
      <c r="T19" s="17"/>
      <c r="U19" s="17"/>
      <c r="V19" s="86">
        <f>SUM(V16:V18)</f>
        <v>80</v>
      </c>
      <c r="W19" s="13">
        <f>X19/V19</f>
        <v>2.7875000000000001</v>
      </c>
      <c r="X19" s="86">
        <f>SUM(X16:X18)</f>
        <v>223</v>
      </c>
      <c r="Y19" s="17"/>
      <c r="Z19" s="13">
        <f>SUM(Z16:Z18)</f>
        <v>2600.4985900000001</v>
      </c>
      <c r="AA19" s="24"/>
      <c r="AB19" s="17"/>
      <c r="AC19" s="25" t="str">
        <f t="shared" si="0"/>
        <v>เวย์ (whey)</v>
      </c>
      <c r="AD19" s="62">
        <v>23</v>
      </c>
      <c r="AE19" s="214">
        <f>HLOOKUP($AE$7,$AN$52:$AY$74,13,FALSE)</f>
        <v>0</v>
      </c>
      <c r="AF19" s="214">
        <f>HLOOKUP($AF$7,$AN$80:$AY$102,13,FALSE)</f>
        <v>0</v>
      </c>
      <c r="AG19" s="214">
        <f>HLOOKUP($AG$7,$AN$108:$AY$130,13,FALSE)</f>
        <v>0</v>
      </c>
      <c r="AH19" s="214">
        <f>HLOOKUP($AH$7,$AN$136:$AY$158,13,FALSE)</f>
        <v>0</v>
      </c>
      <c r="AI19" s="214">
        <f>HLOOKUP($AI$7,$AN$164:$AY$186,13,FALSE)</f>
        <v>0</v>
      </c>
      <c r="AJ19" s="214">
        <f>HLOOKUP($AJ$7,$AN$192:$AY$214,13,FALSE)</f>
        <v>0</v>
      </c>
      <c r="AK19" s="17"/>
      <c r="AL19" s="63" t="s">
        <v>287</v>
      </c>
      <c r="AM19" s="64">
        <v>13</v>
      </c>
      <c r="AN19" s="64">
        <v>3300</v>
      </c>
      <c r="AO19" s="64">
        <v>0.7</v>
      </c>
      <c r="AP19" s="64">
        <v>7.0000000000000007E-2</v>
      </c>
      <c r="AQ19" s="64">
        <v>0.97</v>
      </c>
      <c r="AR19" s="64">
        <v>0.34</v>
      </c>
      <c r="AS19" s="64">
        <v>0.19</v>
      </c>
      <c r="AT19" s="64">
        <v>0.89</v>
      </c>
      <c r="AU19" s="64">
        <v>7</v>
      </c>
      <c r="AV19" s="64"/>
      <c r="AW19" s="17"/>
      <c r="AX19" s="17"/>
      <c r="AY19" s="18"/>
      <c r="AZ19" s="18"/>
      <c r="BA19" s="5"/>
      <c r="BB19" s="5"/>
      <c r="BC19" s="5"/>
      <c r="BD19" s="5"/>
      <c r="BE19" s="3"/>
    </row>
    <row r="20" spans="1:57">
      <c r="A20" s="17"/>
      <c r="B20" s="92">
        <v>1.3</v>
      </c>
      <c r="C20" s="54" t="s">
        <v>17</v>
      </c>
      <c r="D20" s="93">
        <f>M37</f>
        <v>637.07032244512209</v>
      </c>
      <c r="E20" s="86" t="s">
        <v>30</v>
      </c>
      <c r="F20" s="94">
        <f>D20/D30*100</f>
        <v>39.096065273616141</v>
      </c>
      <c r="G20" s="95" t="s">
        <v>216</v>
      </c>
      <c r="H20" s="17"/>
      <c r="I20" s="25"/>
      <c r="J20" s="17" t="s">
        <v>46</v>
      </c>
      <c r="K20" s="17"/>
      <c r="L20" s="17"/>
      <c r="M20" s="17"/>
      <c r="N20" s="17"/>
      <c r="O20" s="17"/>
      <c r="P20" s="17"/>
      <c r="Q20" s="24"/>
      <c r="R20" s="17"/>
      <c r="S20" s="25"/>
      <c r="T20" s="17"/>
      <c r="U20" s="17"/>
      <c r="V20" s="17"/>
      <c r="W20" s="17"/>
      <c r="X20" s="17"/>
      <c r="Y20" s="17"/>
      <c r="Z20" s="17"/>
      <c r="AA20" s="24"/>
      <c r="AB20" s="17"/>
      <c r="AC20" s="25" t="str">
        <f t="shared" si="0"/>
        <v>กากคาโนล่า</v>
      </c>
      <c r="AD20" s="62">
        <v>15</v>
      </c>
      <c r="AE20" s="214">
        <f>HLOOKUP($AE$7,$AN$52:$AY$74,14,FALSE)</f>
        <v>0</v>
      </c>
      <c r="AF20" s="214">
        <f>HLOOKUP($AF$7,$AN$80:$AY$102,14,FALSE)</f>
        <v>0</v>
      </c>
      <c r="AG20" s="214">
        <f>HLOOKUP($AG$7,$AN$108:$AY$130,14,FALSE)</f>
        <v>0</v>
      </c>
      <c r="AH20" s="214">
        <f>HLOOKUP($AH$7,$AN$136:$AY$158,14,FALSE)</f>
        <v>0</v>
      </c>
      <c r="AI20" s="214">
        <f>HLOOKUP($AI$7,$AN$164:$AY$186,14,FALSE)</f>
        <v>0</v>
      </c>
      <c r="AJ20" s="214">
        <f>HLOOKUP($AJ$7,$AN$192:$AY$214,14,FALSE)</f>
        <v>0</v>
      </c>
      <c r="AK20" s="17"/>
      <c r="AL20" s="72" t="s">
        <v>181</v>
      </c>
      <c r="AM20" s="64">
        <v>35</v>
      </c>
      <c r="AN20" s="64">
        <v>2900</v>
      </c>
      <c r="AO20" s="64">
        <v>0.63</v>
      </c>
      <c r="AP20" s="64">
        <v>0.3</v>
      </c>
      <c r="AQ20" s="64">
        <v>2.02</v>
      </c>
      <c r="AR20" s="64">
        <v>1.71</v>
      </c>
      <c r="AS20" s="64">
        <v>0.46</v>
      </c>
      <c r="AT20" s="64">
        <v>1.5</v>
      </c>
      <c r="AU20" s="64">
        <v>3.5</v>
      </c>
      <c r="AV20" s="64">
        <v>12</v>
      </c>
      <c r="AW20" s="17"/>
      <c r="AX20" s="17"/>
      <c r="AY20" s="17"/>
      <c r="AZ20" s="17"/>
      <c r="BA20" s="4"/>
      <c r="BB20" s="4"/>
      <c r="BC20" s="4"/>
      <c r="BD20" s="4"/>
      <c r="BE20" s="2"/>
    </row>
    <row r="21" spans="1:57">
      <c r="A21" s="17"/>
      <c r="B21" s="92">
        <v>1.4</v>
      </c>
      <c r="C21" s="54" t="s">
        <v>18</v>
      </c>
      <c r="D21" s="93">
        <f>L48</f>
        <v>379.4763875000001</v>
      </c>
      <c r="E21" s="86" t="s">
        <v>30</v>
      </c>
      <c r="F21" s="94">
        <f>D21/D30*100</f>
        <v>23.287905734730007</v>
      </c>
      <c r="G21" s="95" t="s">
        <v>216</v>
      </c>
      <c r="H21" s="17"/>
      <c r="I21" s="25"/>
      <c r="J21" s="17" t="s">
        <v>47</v>
      </c>
      <c r="K21" s="17"/>
      <c r="L21" s="17"/>
      <c r="M21" s="17"/>
      <c r="N21" s="87">
        <v>100</v>
      </c>
      <c r="O21" s="17" t="s">
        <v>30</v>
      </c>
      <c r="P21" s="17"/>
      <c r="Q21" s="24"/>
      <c r="R21" s="17"/>
      <c r="S21" s="25"/>
      <c r="T21" s="17" t="s">
        <v>125</v>
      </c>
      <c r="U21" s="17"/>
      <c r="V21" s="17"/>
      <c r="W21" s="17"/>
      <c r="X21" s="13">
        <f>Z19</f>
        <v>2600.4985900000001</v>
      </c>
      <c r="Y21" s="17" t="s">
        <v>2</v>
      </c>
      <c r="Z21" s="17"/>
      <c r="AA21" s="24"/>
      <c r="AB21" s="17"/>
      <c r="AC21" s="25" t="str">
        <f t="shared" si="0"/>
        <v>น้ำมันรำ</v>
      </c>
      <c r="AD21" s="62">
        <v>25</v>
      </c>
      <c r="AE21" s="214">
        <f>HLOOKUP($AE$7,$AN$52:$AY$74,15,FALSE)</f>
        <v>4</v>
      </c>
      <c r="AF21" s="214">
        <f>HLOOKUP($AF$7,$AN$80:$AY$102,15,FALSE)</f>
        <v>1</v>
      </c>
      <c r="AG21" s="214">
        <f>HLOOKUP($AG$7,$AN$108:$AY$130,15,FALSE)</f>
        <v>2</v>
      </c>
      <c r="AH21" s="214">
        <f>HLOOKUP($AH$7,$AN$136:$AY$158,15,FALSE)</f>
        <v>1</v>
      </c>
      <c r="AI21" s="214">
        <f>HLOOKUP($AI$7,$AN$164:$AY$186,15,FALSE)</f>
        <v>1</v>
      </c>
      <c r="AJ21" s="214">
        <f>HLOOKUP($AJ$7,$AN$192:$AY$214,15,FALSE)</f>
        <v>2</v>
      </c>
      <c r="AK21" s="17"/>
      <c r="AL21" s="63" t="s">
        <v>162</v>
      </c>
      <c r="AM21" s="64"/>
      <c r="AN21" s="64">
        <v>8800</v>
      </c>
      <c r="AO21" s="64"/>
      <c r="AP21" s="64"/>
      <c r="AQ21" s="64"/>
      <c r="AR21" s="64"/>
      <c r="AS21" s="64"/>
      <c r="AT21" s="64"/>
      <c r="AU21" s="64">
        <v>100</v>
      </c>
      <c r="AV21" s="64"/>
      <c r="AW21" s="17"/>
      <c r="AX21" s="17"/>
      <c r="AY21" s="17"/>
      <c r="AZ21" s="17"/>
      <c r="BA21" s="4"/>
      <c r="BB21" s="4"/>
      <c r="BC21" s="4"/>
      <c r="BD21" s="4"/>
      <c r="BE21" s="2"/>
    </row>
    <row r="22" spans="1:57">
      <c r="A22" s="17"/>
      <c r="B22" s="92">
        <v>1.5</v>
      </c>
      <c r="C22" s="54" t="s">
        <v>19</v>
      </c>
      <c r="D22" s="93">
        <f>M60</f>
        <v>171.26607538802659</v>
      </c>
      <c r="E22" s="86" t="s">
        <v>30</v>
      </c>
      <c r="F22" s="94">
        <f>D22/D30*100</f>
        <v>10.510346231209249</v>
      </c>
      <c r="G22" s="95" t="s">
        <v>216</v>
      </c>
      <c r="H22" s="17"/>
      <c r="I22" s="25"/>
      <c r="J22" s="100" t="s">
        <v>48</v>
      </c>
      <c r="K22" s="17"/>
      <c r="L22" s="17"/>
      <c r="M22" s="17"/>
      <c r="N22" s="87">
        <v>2.5</v>
      </c>
      <c r="O22" s="17" t="s">
        <v>49</v>
      </c>
      <c r="P22" s="17"/>
      <c r="Q22" s="24"/>
      <c r="R22" s="17"/>
      <c r="S22" s="25"/>
      <c r="T22" s="17" t="s">
        <v>318</v>
      </c>
      <c r="U22" s="17"/>
      <c r="V22" s="17"/>
      <c r="W22" s="17"/>
      <c r="X22" s="105">
        <f>X8</f>
        <v>5</v>
      </c>
      <c r="Y22" s="17" t="s">
        <v>0</v>
      </c>
      <c r="Z22" s="17"/>
      <c r="AA22" s="24"/>
      <c r="AB22" s="17"/>
      <c r="AC22" s="25" t="str">
        <f t="shared" ref="AC22:AC29" si="1">AL22</f>
        <v>เปลือกหอย/หินปูน</v>
      </c>
      <c r="AD22" s="62">
        <v>2.5</v>
      </c>
      <c r="AE22" s="214">
        <f>HLOOKUP($AE$7,$AN$52:$AY$74,16,FALSE)</f>
        <v>0</v>
      </c>
      <c r="AF22" s="214">
        <f>HLOOKUP($AF$7,$AN$80:$AY$102,16,FALSE)</f>
        <v>0</v>
      </c>
      <c r="AG22" s="214">
        <f>HLOOKUP($AG$7,$AN$108:$AY$130,16,FALSE)</f>
        <v>0.1</v>
      </c>
      <c r="AH22" s="214">
        <f>HLOOKUP($AH$7,$AN$136:$AY$158,16,FALSE)</f>
        <v>0.1</v>
      </c>
      <c r="AI22" s="214">
        <f>HLOOKUP($AI$7,$AN$164:$AY$186,16,FALSE)</f>
        <v>0.1</v>
      </c>
      <c r="AJ22" s="214">
        <f>HLOOKUP($AJ$7,$AN$192:$AY$214,16,FALSE)</f>
        <v>0</v>
      </c>
      <c r="AK22" s="17"/>
      <c r="AL22" s="207" t="s">
        <v>298</v>
      </c>
      <c r="AM22" s="64"/>
      <c r="AN22" s="64"/>
      <c r="AO22" s="64">
        <v>38</v>
      </c>
      <c r="AP22" s="64"/>
      <c r="AQ22" s="64"/>
      <c r="AR22" s="64"/>
      <c r="AS22" s="64"/>
      <c r="AT22" s="64"/>
      <c r="AU22" s="64"/>
      <c r="AV22" s="64"/>
      <c r="AW22" s="17"/>
      <c r="AX22" s="17"/>
      <c r="AY22" s="17"/>
      <c r="AZ22" s="17"/>
      <c r="BA22" s="4"/>
      <c r="BB22" s="4"/>
      <c r="BC22" s="4"/>
      <c r="BD22" s="4"/>
      <c r="BE22" s="2"/>
    </row>
    <row r="23" spans="1:57" ht="15">
      <c r="A23" s="17"/>
      <c r="B23" s="92">
        <v>1.6</v>
      </c>
      <c r="C23" s="54" t="s">
        <v>20</v>
      </c>
      <c r="D23" s="101">
        <f>L69</f>
        <v>62.084257206208427</v>
      </c>
      <c r="E23" s="86" t="s">
        <v>30</v>
      </c>
      <c r="F23" s="94">
        <f>D23/D30*100</f>
        <v>3.8100192187291588</v>
      </c>
      <c r="G23" s="95" t="s">
        <v>216</v>
      </c>
      <c r="H23" s="17"/>
      <c r="I23" s="25"/>
      <c r="J23" s="17" t="s">
        <v>50</v>
      </c>
      <c r="K23" s="17"/>
      <c r="L23" s="86"/>
      <c r="M23" s="17"/>
      <c r="N23" s="86">
        <f>M10</f>
        <v>8.1999999999999993</v>
      </c>
      <c r="O23" s="17" t="s">
        <v>51</v>
      </c>
      <c r="P23" s="17"/>
      <c r="Q23" s="24"/>
      <c r="R23" s="17"/>
      <c r="S23" s="25"/>
      <c r="T23" s="17"/>
      <c r="U23" s="17"/>
      <c r="V23" s="17"/>
      <c r="W23" s="17"/>
      <c r="X23" s="17"/>
      <c r="Y23" s="17"/>
      <c r="Z23" s="17"/>
      <c r="AA23" s="24"/>
      <c r="AB23" s="17"/>
      <c r="AC23" s="25" t="str">
        <f t="shared" si="1"/>
        <v>ไดแคลเซี่ยมฟอสเฟต</v>
      </c>
      <c r="AD23" s="62">
        <v>13</v>
      </c>
      <c r="AE23" s="214">
        <f>HLOOKUP($AE$7,$AN$52:$AY$74,17,FALSE)</f>
        <v>0</v>
      </c>
      <c r="AF23" s="214">
        <f>HLOOKUP($AF$7,$AN$80:$AY$102,17,FALSE)</f>
        <v>3.2</v>
      </c>
      <c r="AG23" s="214">
        <f>HLOOKUP($AG$7,$AN$108:$AY$130,17,FALSE)</f>
        <v>3</v>
      </c>
      <c r="AH23" s="214">
        <f>HLOOKUP($AH$7,$AN$136:$AY$158,17,FALSE)</f>
        <v>2.6</v>
      </c>
      <c r="AI23" s="214">
        <f>HLOOKUP($AI$7,$AN$164:$AY$186,17,FALSE)</f>
        <v>2.7</v>
      </c>
      <c r="AJ23" s="214">
        <f>HLOOKUP($AJ$7,$AN$192:$AY$214,17,FALSE)</f>
        <v>3.2</v>
      </c>
      <c r="AK23" s="17"/>
      <c r="AL23" s="63" t="s">
        <v>163</v>
      </c>
      <c r="AM23" s="64"/>
      <c r="AN23" s="64"/>
      <c r="AO23" s="64">
        <v>24</v>
      </c>
      <c r="AP23" s="64">
        <v>18</v>
      </c>
      <c r="AQ23" s="64"/>
      <c r="AR23" s="64"/>
      <c r="AS23" s="64"/>
      <c r="AT23" s="64"/>
      <c r="AU23" s="64"/>
      <c r="AV23" s="64"/>
      <c r="AW23" s="34" t="s">
        <v>319</v>
      </c>
      <c r="AX23" s="17"/>
      <c r="AY23" s="17"/>
      <c r="AZ23" s="17"/>
      <c r="BA23" s="4"/>
      <c r="BB23" s="4"/>
      <c r="BC23" s="4"/>
      <c r="BD23" s="4"/>
      <c r="BE23" s="2"/>
    </row>
    <row r="24" spans="1:57" ht="15">
      <c r="A24" s="17"/>
      <c r="B24" s="92">
        <v>1.7</v>
      </c>
      <c r="C24" s="54" t="s">
        <v>21</v>
      </c>
      <c r="D24" s="101">
        <f>M77</f>
        <v>44.345898004434588</v>
      </c>
      <c r="E24" s="86" t="s">
        <v>30</v>
      </c>
      <c r="F24" s="94">
        <f>D24/D30*100</f>
        <v>2.7214422990922564</v>
      </c>
      <c r="G24" s="95" t="s">
        <v>216</v>
      </c>
      <c r="H24" s="17"/>
      <c r="I24" s="25"/>
      <c r="J24" s="17"/>
      <c r="K24" s="17"/>
      <c r="L24" s="17"/>
      <c r="M24" s="86"/>
      <c r="N24" s="17"/>
      <c r="O24" s="17"/>
      <c r="P24" s="17"/>
      <c r="Q24" s="24"/>
      <c r="R24" s="17"/>
      <c r="S24" s="25"/>
      <c r="T24" s="54" t="s">
        <v>126</v>
      </c>
      <c r="U24" s="54"/>
      <c r="V24" s="54"/>
      <c r="W24" s="54"/>
      <c r="X24" s="102">
        <f>X21/(100-X22/2)*100</f>
        <v>2667.1780410256411</v>
      </c>
      <c r="Y24" s="54" t="s">
        <v>63</v>
      </c>
      <c r="Z24" s="35" t="s">
        <v>215</v>
      </c>
      <c r="AA24" s="24"/>
      <c r="AB24" s="17"/>
      <c r="AC24" s="25" t="str">
        <f t="shared" si="1"/>
        <v>โมโนแคลเซี่ยมฟอสเฟต</v>
      </c>
      <c r="AD24" s="62">
        <v>18</v>
      </c>
      <c r="AE24" s="214">
        <f>HLOOKUP($AE$7,$AN$52:$AY$74,18,FALSE)</f>
        <v>2.9</v>
      </c>
      <c r="AF24" s="214">
        <f>HLOOKUP($AF$7,$AN$80:$AY$102,18,FALSE)</f>
        <v>0</v>
      </c>
      <c r="AG24" s="214">
        <f>HLOOKUP($AG$7,$AN$108:$AY$130,18,FALSE)</f>
        <v>0</v>
      </c>
      <c r="AH24" s="214">
        <f>HLOOKUP($AH$7,$AN$136:$AY$158,18,FALSE)</f>
        <v>0</v>
      </c>
      <c r="AI24" s="214">
        <f>HLOOKUP($AI$7,$AN$164:$AY$186,18,FALSE)</f>
        <v>0</v>
      </c>
      <c r="AJ24" s="214">
        <f>HLOOKUP($AJ$7,$AN$192:$AY$214,18,FALSE)</f>
        <v>0</v>
      </c>
      <c r="AK24" s="17"/>
      <c r="AL24" s="63" t="s">
        <v>164</v>
      </c>
      <c r="AM24" s="64"/>
      <c r="AN24" s="64"/>
      <c r="AO24" s="64">
        <v>18</v>
      </c>
      <c r="AP24" s="64">
        <v>21</v>
      </c>
      <c r="AQ24" s="64"/>
      <c r="AR24" s="64"/>
      <c r="AS24" s="64"/>
      <c r="AT24" s="64"/>
      <c r="AU24" s="64"/>
      <c r="AV24" s="64"/>
      <c r="AW24" s="17"/>
      <c r="AX24" s="17"/>
      <c r="AY24" s="17"/>
      <c r="AZ24" s="17"/>
      <c r="BA24" s="4"/>
      <c r="BB24" s="4"/>
      <c r="BC24" s="4"/>
      <c r="BD24" s="4"/>
      <c r="BE24" s="2"/>
    </row>
    <row r="25" spans="1:57">
      <c r="A25" s="17"/>
      <c r="B25" s="92">
        <v>1.8</v>
      </c>
      <c r="C25" s="54" t="s">
        <v>259</v>
      </c>
      <c r="D25" s="93">
        <f>M88</f>
        <v>110.86474501108648</v>
      </c>
      <c r="E25" s="86" t="s">
        <v>30</v>
      </c>
      <c r="F25" s="94">
        <f>D25/D30*100</f>
        <v>6.8036057477306411</v>
      </c>
      <c r="G25" s="95" t="s">
        <v>216</v>
      </c>
      <c r="H25" s="17"/>
      <c r="I25" s="25"/>
      <c r="J25" s="83" t="s">
        <v>52</v>
      </c>
      <c r="K25" s="83"/>
      <c r="L25" s="69"/>
      <c r="M25" s="83"/>
      <c r="N25" s="69">
        <f>N21*N22/N23</f>
        <v>30.487804878048784</v>
      </c>
      <c r="O25" s="17" t="s">
        <v>30</v>
      </c>
      <c r="P25" s="225" t="s">
        <v>215</v>
      </c>
      <c r="Q25" s="24"/>
      <c r="R25" s="17"/>
      <c r="S25" s="30"/>
      <c r="T25" s="31"/>
      <c r="U25" s="31"/>
      <c r="V25" s="31"/>
      <c r="W25" s="31"/>
      <c r="X25" s="31"/>
      <c r="Y25" s="31"/>
      <c r="Z25" s="31"/>
      <c r="AA25" s="32"/>
      <c r="AB25" s="17"/>
      <c r="AC25" s="25" t="str">
        <f t="shared" si="1"/>
        <v>เกลือ</v>
      </c>
      <c r="AD25" s="62">
        <v>1.5</v>
      </c>
      <c r="AE25" s="214">
        <f>HLOOKUP($AE$7,$AN$52:$AY$74,19,FALSE)</f>
        <v>0.35</v>
      </c>
      <c r="AF25" s="214">
        <f>HLOOKUP($AF$7,$AN$80:$AY$102,19,FALSE)</f>
        <v>0.35</v>
      </c>
      <c r="AG25" s="214">
        <f>HLOOKUP($AG$7,$AN$108:$AY$130,19,FALSE)</f>
        <v>0.35</v>
      </c>
      <c r="AH25" s="214">
        <f>HLOOKUP($AH$7,$AN$136:$AY$158,19,FALSE)</f>
        <v>0.35</v>
      </c>
      <c r="AI25" s="214">
        <f>HLOOKUP($AI$7,$AN$164:$AY$186,19,FALSE)</f>
        <v>0.35</v>
      </c>
      <c r="AJ25" s="214">
        <f>HLOOKUP($AJ$7,$AN$192:$AY$214,19,FALSE)</f>
        <v>0.35</v>
      </c>
      <c r="AK25" s="17"/>
      <c r="AL25" s="63" t="s">
        <v>165</v>
      </c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17"/>
      <c r="AX25" s="17"/>
      <c r="AY25" s="17"/>
      <c r="AZ25" s="17"/>
      <c r="BA25" s="4"/>
      <c r="BB25" s="4"/>
      <c r="BC25" s="4"/>
      <c r="BD25" s="4"/>
      <c r="BE25" s="2"/>
    </row>
    <row r="26" spans="1:57">
      <c r="A26" s="17"/>
      <c r="B26" s="92">
        <v>1.9</v>
      </c>
      <c r="C26" s="54" t="s">
        <v>22</v>
      </c>
      <c r="D26" s="101">
        <f>L98</f>
        <v>3.695491500369549</v>
      </c>
      <c r="E26" s="86" t="s">
        <v>30</v>
      </c>
      <c r="F26" s="94">
        <f>D26/D30*100</f>
        <v>0.22678685825768802</v>
      </c>
      <c r="G26" s="95" t="s">
        <v>216</v>
      </c>
      <c r="H26" s="17"/>
      <c r="I26" s="30"/>
      <c r="J26" s="31"/>
      <c r="K26" s="31"/>
      <c r="L26" s="31"/>
      <c r="M26" s="31"/>
      <c r="N26" s="31"/>
      <c r="O26" s="31"/>
      <c r="P26" s="31"/>
      <c r="Q26" s="32"/>
      <c r="R26" s="17"/>
      <c r="S26" s="36">
        <v>2.2999999999999998</v>
      </c>
      <c r="T26" s="37" t="s">
        <v>19</v>
      </c>
      <c r="U26" s="37"/>
      <c r="V26" s="17"/>
      <c r="W26" s="17"/>
      <c r="X26" s="17"/>
      <c r="Y26" s="17"/>
      <c r="Z26" s="17"/>
      <c r="AA26" s="24"/>
      <c r="AB26" s="17"/>
      <c r="AC26" s="25" t="str">
        <f t="shared" si="1"/>
        <v>แอล-ไลซีน</v>
      </c>
      <c r="AD26" s="62">
        <v>80</v>
      </c>
      <c r="AE26" s="214">
        <f>HLOOKUP($AE$7,$AN$52:$AY$74,20,FALSE)</f>
        <v>0.1</v>
      </c>
      <c r="AF26" s="214">
        <f>HLOOKUP($AF$7,$AN$80:$AY$102,20,FALSE)</f>
        <v>0.05</v>
      </c>
      <c r="AG26" s="214">
        <f>HLOOKUP($AG$7,$AN$108:$AY$130,20,FALSE)</f>
        <v>0.05</v>
      </c>
      <c r="AH26" s="214">
        <f>HLOOKUP($AH$7,$AN$136:$AY$158,20,FALSE)</f>
        <v>0.15</v>
      </c>
      <c r="AI26" s="214">
        <f>HLOOKUP($AI$7,$AN$164:$AY$186,20,FALSE)</f>
        <v>0</v>
      </c>
      <c r="AJ26" s="214">
        <f>HLOOKUP($AJ$7,$AN$192:$AY$214,20,FALSE)</f>
        <v>0</v>
      </c>
      <c r="AK26" s="17"/>
      <c r="AL26" s="63" t="s">
        <v>166</v>
      </c>
      <c r="AM26" s="64">
        <v>78</v>
      </c>
      <c r="AN26" s="64"/>
      <c r="AO26" s="64"/>
      <c r="AP26" s="64"/>
      <c r="AQ26" s="64">
        <v>78</v>
      </c>
      <c r="AR26" s="64"/>
      <c r="AS26" s="64"/>
      <c r="AT26" s="64"/>
      <c r="AU26" s="64"/>
      <c r="AV26" s="64"/>
      <c r="AW26" s="17"/>
      <c r="AX26" s="17"/>
      <c r="AY26" s="17"/>
      <c r="AZ26" s="17"/>
      <c r="BA26" s="4"/>
      <c r="BB26" s="4"/>
      <c r="BC26" s="4"/>
      <c r="BD26" s="4"/>
      <c r="BE26" s="2"/>
    </row>
    <row r="27" spans="1:57">
      <c r="A27" s="17"/>
      <c r="B27" s="103">
        <v>1.1000000000000001</v>
      </c>
      <c r="C27" s="54" t="s">
        <v>269</v>
      </c>
      <c r="D27" s="93">
        <f>M106</f>
        <v>99.77827050997783</v>
      </c>
      <c r="E27" s="86" t="s">
        <v>30</v>
      </c>
      <c r="F27" s="94">
        <f>D27/D30*100</f>
        <v>6.1232451729575779</v>
      </c>
      <c r="G27" s="95" t="s">
        <v>216</v>
      </c>
      <c r="H27" s="17"/>
      <c r="I27" s="36">
        <v>1.3</v>
      </c>
      <c r="J27" s="37" t="s">
        <v>54</v>
      </c>
      <c r="K27" s="37"/>
      <c r="L27" s="17"/>
      <c r="M27" s="17"/>
      <c r="N27" s="17"/>
      <c r="O27" s="17"/>
      <c r="P27" s="17"/>
      <c r="Q27" s="24"/>
      <c r="R27" s="17"/>
      <c r="S27" s="25"/>
      <c r="T27" s="17"/>
      <c r="U27" s="17"/>
      <c r="V27" s="17"/>
      <c r="W27" s="17"/>
      <c r="X27" s="17"/>
      <c r="Y27" s="17"/>
      <c r="Z27" s="17"/>
      <c r="AA27" s="24"/>
      <c r="AB27" s="17"/>
      <c r="AC27" s="25" t="str">
        <f t="shared" si="1"/>
        <v>ดีแอล-เมทไธโอนีน</v>
      </c>
      <c r="AD27" s="62">
        <v>130</v>
      </c>
      <c r="AE27" s="214">
        <f>HLOOKUP($AE$7,$AN$52:$AY$74,21,FALSE)</f>
        <v>0.3</v>
      </c>
      <c r="AF27" s="214">
        <f>HLOOKUP($AF$7,$AN$80:$AY$102,21,FALSE)</f>
        <v>0.2</v>
      </c>
      <c r="AG27" s="214">
        <f>HLOOKUP($AG$7,$AN$108:$AY$130,21,FALSE)</f>
        <v>0.15</v>
      </c>
      <c r="AH27" s="214">
        <f>HLOOKUP($AH$7,$AN$136:$AY$158,21,FALSE)</f>
        <v>0.15</v>
      </c>
      <c r="AI27" s="214">
        <f>HLOOKUP($AI$7,$AN$164:$AY$186,21,FALSE)</f>
        <v>0.05</v>
      </c>
      <c r="AJ27" s="214">
        <f>HLOOKUP($AJ$7,$AN$192:$AY$214,21,FALSE)</f>
        <v>0.2</v>
      </c>
      <c r="AK27" s="17"/>
      <c r="AL27" s="63" t="s">
        <v>167</v>
      </c>
      <c r="AM27" s="64">
        <v>100</v>
      </c>
      <c r="AN27" s="64"/>
      <c r="AO27" s="64"/>
      <c r="AP27" s="64"/>
      <c r="AQ27" s="64"/>
      <c r="AR27" s="64">
        <v>100</v>
      </c>
      <c r="AS27" s="64"/>
      <c r="AT27" s="64"/>
      <c r="AU27" s="64"/>
      <c r="AV27" s="64"/>
      <c r="AW27" s="17"/>
      <c r="AX27" s="17"/>
      <c r="AY27" s="17"/>
      <c r="AZ27" s="17"/>
      <c r="BA27" s="4"/>
      <c r="BB27" s="4"/>
      <c r="BC27" s="4"/>
      <c r="BD27" s="4"/>
      <c r="BE27" s="2"/>
    </row>
    <row r="28" spans="1:57" ht="15.75">
      <c r="A28" s="17"/>
      <c r="B28" s="103">
        <v>1.1100000000000001</v>
      </c>
      <c r="C28" s="54" t="s">
        <v>23</v>
      </c>
      <c r="D28" s="93">
        <f>M114</f>
        <v>34.998218543225896</v>
      </c>
      <c r="E28" s="86" t="s">
        <v>30</v>
      </c>
      <c r="F28" s="104">
        <f>D28/D30*100</f>
        <v>2.1477890091860439</v>
      </c>
      <c r="G28" s="95" t="s">
        <v>216</v>
      </c>
      <c r="H28" s="17"/>
      <c r="I28" s="25"/>
      <c r="J28" s="17"/>
      <c r="K28" s="17"/>
      <c r="L28" s="17"/>
      <c r="M28" s="86" t="s">
        <v>60</v>
      </c>
      <c r="N28" s="86" t="s">
        <v>61</v>
      </c>
      <c r="O28" s="86" t="s">
        <v>62</v>
      </c>
      <c r="P28" s="86" t="s">
        <v>30</v>
      </c>
      <c r="Q28" s="24"/>
      <c r="R28" s="17"/>
      <c r="S28" s="25"/>
      <c r="T28" s="17" t="s">
        <v>210</v>
      </c>
      <c r="U28" s="17"/>
      <c r="V28" s="17"/>
      <c r="W28" s="17"/>
      <c r="X28" s="105">
        <f>X97</f>
        <v>100</v>
      </c>
      <c r="Y28" s="17" t="s">
        <v>30</v>
      </c>
      <c r="Z28" s="106" t="s">
        <v>216</v>
      </c>
      <c r="AA28" s="107"/>
      <c r="AB28" s="17"/>
      <c r="AC28" s="25" t="str">
        <f t="shared" si="1"/>
        <v>แอล-ทรีโอนีน</v>
      </c>
      <c r="AD28" s="62">
        <v>130</v>
      </c>
      <c r="AE28" s="214">
        <f>HLOOKUP($AE$7,$AN$52:$AY$74,22,FALSE)</f>
        <v>0</v>
      </c>
      <c r="AF28" s="214">
        <f>HLOOKUP($AF$7,$AN$80:$AY$102,22,FALSE)</f>
        <v>0</v>
      </c>
      <c r="AG28" s="214">
        <f>HLOOKUP($AG$7,$AN$108:$AY$130,22,FALSE)</f>
        <v>0.05</v>
      </c>
      <c r="AH28" s="214">
        <f>HLOOKUP($AH$7,$AN$136:$AY$158,22,FALSE)</f>
        <v>0.05</v>
      </c>
      <c r="AI28" s="214">
        <f>HLOOKUP($AI$7,$AN$164:$AY$186,22,FALSE)</f>
        <v>0</v>
      </c>
      <c r="AJ28" s="214">
        <f>HLOOKUP($AJ$7,$AN$192:$AY$214,22,FALSE)</f>
        <v>0</v>
      </c>
      <c r="AK28" s="17"/>
      <c r="AL28" s="63" t="s">
        <v>168</v>
      </c>
      <c r="AM28" s="64">
        <v>100</v>
      </c>
      <c r="AN28" s="64"/>
      <c r="AO28" s="64"/>
      <c r="AP28" s="64"/>
      <c r="AQ28" s="64"/>
      <c r="AR28" s="64"/>
      <c r="AS28" s="64"/>
      <c r="AT28" s="64">
        <v>100</v>
      </c>
      <c r="AU28" s="64"/>
      <c r="AV28" s="64"/>
      <c r="AW28" s="34"/>
      <c r="AX28" s="17"/>
      <c r="AY28" s="17"/>
      <c r="AZ28" s="17"/>
      <c r="BA28" s="4"/>
      <c r="BB28" s="4"/>
      <c r="BC28" s="4"/>
      <c r="BD28" s="4"/>
      <c r="BE28" s="2"/>
    </row>
    <row r="29" spans="1:57" ht="15.75">
      <c r="A29" s="17"/>
      <c r="B29" s="103"/>
      <c r="C29" s="17"/>
      <c r="D29" s="17"/>
      <c r="E29" s="86"/>
      <c r="F29" s="94">
        <f>SUM(F18:F28)</f>
        <v>100.00000000000001</v>
      </c>
      <c r="G29" s="24"/>
      <c r="H29" s="17"/>
      <c r="I29" s="25"/>
      <c r="J29" s="17" t="s">
        <v>55</v>
      </c>
      <c r="K29" s="17"/>
      <c r="L29" s="17"/>
      <c r="M29" s="87">
        <v>84</v>
      </c>
      <c r="N29" s="87">
        <v>2</v>
      </c>
      <c r="O29" s="88">
        <f>AI49</f>
        <v>11.162597500000004</v>
      </c>
      <c r="P29" s="86">
        <f>M29*N29*O29</f>
        <v>1875.3163800000007</v>
      </c>
      <c r="Q29" s="108" t="s">
        <v>216</v>
      </c>
      <c r="R29" s="17"/>
      <c r="S29" s="25"/>
      <c r="T29" s="17" t="s">
        <v>211</v>
      </c>
      <c r="U29" s="17"/>
      <c r="V29" s="17"/>
      <c r="W29" s="17"/>
      <c r="X29" s="105">
        <f>X104</f>
        <v>40</v>
      </c>
      <c r="Y29" s="17" t="s">
        <v>30</v>
      </c>
      <c r="Z29" s="106" t="s">
        <v>216</v>
      </c>
      <c r="AA29" s="107"/>
      <c r="AB29" s="17"/>
      <c r="AC29" s="25" t="str">
        <f t="shared" si="1"/>
        <v>พรีมิกซ์</v>
      </c>
      <c r="AD29" s="109">
        <v>50</v>
      </c>
      <c r="AE29" s="214">
        <f>HLOOKUP($AE$7,$AN$52:$AY$74,23,FALSE)</f>
        <v>0.25</v>
      </c>
      <c r="AF29" s="214">
        <f>HLOOKUP($AF$7,$AN$80:$AY$102,23,FALSE)</f>
        <v>0.25</v>
      </c>
      <c r="AG29" s="214">
        <f>HLOOKUP($AG$7,$AN$108:$AY$130,23,FALSE)</f>
        <v>0.25</v>
      </c>
      <c r="AH29" s="214">
        <f>HLOOKUP($AH$7,$AN$136:$AY$158,23,FALSE)</f>
        <v>0.25</v>
      </c>
      <c r="AI29" s="214">
        <f>HLOOKUP($AI$7,$AN$164:$AY$186,23,FALSE)</f>
        <v>0.25</v>
      </c>
      <c r="AJ29" s="214">
        <f>HLOOKUP($AJ$7,$AN$192:$AY$214,23,FALSE)</f>
        <v>0.25</v>
      </c>
      <c r="AK29" s="17"/>
      <c r="AL29" s="63" t="s">
        <v>169</v>
      </c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17"/>
      <c r="AX29" s="17"/>
      <c r="AY29" s="17"/>
      <c r="AZ29" s="17"/>
      <c r="BA29" s="4"/>
      <c r="BB29" s="4"/>
      <c r="BC29" s="4"/>
      <c r="BD29" s="4"/>
      <c r="BE29" s="2"/>
    </row>
    <row r="30" spans="1:57">
      <c r="A30" s="17"/>
      <c r="B30" s="103"/>
      <c r="C30" s="17" t="s">
        <v>24</v>
      </c>
      <c r="D30" s="94">
        <f>SUM(D18:D28)</f>
        <v>1629.4998434920435</v>
      </c>
      <c r="E30" s="86" t="s">
        <v>30</v>
      </c>
      <c r="F30" s="17"/>
      <c r="G30" s="24"/>
      <c r="H30" s="17"/>
      <c r="I30" s="25"/>
      <c r="J30" s="17" t="s">
        <v>56</v>
      </c>
      <c r="K30" s="17"/>
      <c r="L30" s="17"/>
      <c r="M30" s="87">
        <v>30</v>
      </c>
      <c r="N30" s="87">
        <v>2.5</v>
      </c>
      <c r="O30" s="88">
        <f>AI49</f>
        <v>11.162597500000004</v>
      </c>
      <c r="P30" s="86">
        <f>M30*N30*O30</f>
        <v>837.19481250000035</v>
      </c>
      <c r="Q30" s="108" t="s">
        <v>216</v>
      </c>
      <c r="R30" s="17"/>
      <c r="S30" s="25"/>
      <c r="T30" s="17"/>
      <c r="U30" s="17"/>
      <c r="V30" s="17"/>
      <c r="W30" s="17"/>
      <c r="X30" s="110"/>
      <c r="Y30" s="17"/>
      <c r="Z30" s="111"/>
      <c r="AA30" s="107"/>
      <c r="AB30" s="17"/>
      <c r="AC30" s="112" t="s">
        <v>59</v>
      </c>
      <c r="AD30" s="113"/>
      <c r="AE30" s="45">
        <f t="shared" ref="AE30:AJ30" si="2">SUM(AE8:AE29)</f>
        <v>99.999999999999986</v>
      </c>
      <c r="AF30" s="45">
        <f t="shared" si="2"/>
        <v>100</v>
      </c>
      <c r="AG30" s="45">
        <f t="shared" si="2"/>
        <v>99.999999999999986</v>
      </c>
      <c r="AH30" s="45">
        <f t="shared" si="2"/>
        <v>99.999999999999986</v>
      </c>
      <c r="AI30" s="45">
        <f t="shared" si="2"/>
        <v>99.999999999999986</v>
      </c>
      <c r="AJ30" s="114">
        <f t="shared" si="2"/>
        <v>100</v>
      </c>
      <c r="AK30" s="17"/>
      <c r="AL30" s="115" t="s">
        <v>237</v>
      </c>
      <c r="AM30" s="17"/>
      <c r="AN30" s="17"/>
      <c r="AO30" s="17"/>
      <c r="AP30" s="17"/>
      <c r="AQ30" s="17"/>
      <c r="AR30" s="17"/>
      <c r="AS30" s="17"/>
      <c r="AT30" s="17"/>
      <c r="AU30" s="17"/>
      <c r="AV30" s="21"/>
      <c r="AW30" s="17"/>
      <c r="AX30" s="17"/>
      <c r="AY30" s="17"/>
      <c r="AZ30" s="17"/>
      <c r="BA30" s="4"/>
      <c r="BB30" s="4"/>
      <c r="BC30" s="4"/>
      <c r="BD30" s="4"/>
      <c r="BE30" s="2"/>
    </row>
    <row r="31" spans="1:57" ht="15">
      <c r="A31" s="17"/>
      <c r="B31" s="103"/>
      <c r="C31" s="17"/>
      <c r="D31" s="17"/>
      <c r="E31" s="86"/>
      <c r="F31" s="17"/>
      <c r="G31" s="116"/>
      <c r="H31" s="17"/>
      <c r="I31" s="25"/>
      <c r="J31" s="17" t="s">
        <v>57</v>
      </c>
      <c r="K31" s="17"/>
      <c r="L31" s="17"/>
      <c r="M31" s="87">
        <v>28</v>
      </c>
      <c r="N31" s="87">
        <v>5.5</v>
      </c>
      <c r="O31" s="88">
        <f>AJ49</f>
        <v>12.496987499999999</v>
      </c>
      <c r="P31" s="86">
        <f>M31*N31*O31</f>
        <v>1924.536075</v>
      </c>
      <c r="Q31" s="108" t="s">
        <v>216</v>
      </c>
      <c r="R31" s="17"/>
      <c r="S31" s="25"/>
      <c r="T31" s="17" t="s">
        <v>127</v>
      </c>
      <c r="U31" s="17"/>
      <c r="V31" s="17"/>
      <c r="W31" s="17"/>
      <c r="X31" s="117">
        <f>SUM(X28:X29)</f>
        <v>140</v>
      </c>
      <c r="Y31" s="17" t="s">
        <v>63</v>
      </c>
      <c r="Z31" s="35" t="s">
        <v>215</v>
      </c>
      <c r="AA31" s="107"/>
      <c r="AB31" s="17"/>
      <c r="AC31" s="36"/>
      <c r="AD31" s="118"/>
      <c r="AE31" s="119"/>
      <c r="AF31" s="119"/>
      <c r="AG31" s="119"/>
      <c r="AH31" s="119"/>
      <c r="AI31" s="119"/>
      <c r="AJ31" s="91"/>
      <c r="AK31" s="17"/>
      <c r="AL31" s="63" t="s">
        <v>180</v>
      </c>
      <c r="AM31" s="64">
        <v>16</v>
      </c>
      <c r="AN31" s="64">
        <v>2600</v>
      </c>
      <c r="AO31" s="64">
        <v>0.45</v>
      </c>
      <c r="AP31" s="64">
        <v>0.2</v>
      </c>
      <c r="AQ31" s="64">
        <v>0.53</v>
      </c>
      <c r="AR31" s="64">
        <v>0.45</v>
      </c>
      <c r="AS31" s="64">
        <v>0.12</v>
      </c>
      <c r="AT31" s="64">
        <v>0.5</v>
      </c>
      <c r="AU31" s="64">
        <v>3</v>
      </c>
      <c r="AV31" s="64">
        <v>14</v>
      </c>
      <c r="AW31" s="17"/>
      <c r="AX31" s="17"/>
      <c r="AY31" s="17"/>
      <c r="AZ31" s="17"/>
      <c r="BA31" s="4"/>
      <c r="BB31" s="4"/>
      <c r="BC31" s="4"/>
      <c r="BD31" s="4"/>
      <c r="BE31" s="2"/>
    </row>
    <row r="32" spans="1:57">
      <c r="A32" s="17"/>
      <c r="B32" s="103"/>
      <c r="C32" s="17" t="s">
        <v>25</v>
      </c>
      <c r="D32" s="120">
        <v>1700</v>
      </c>
      <c r="E32" s="86" t="s">
        <v>30</v>
      </c>
      <c r="F32" s="17"/>
      <c r="G32" s="24"/>
      <c r="H32" s="17"/>
      <c r="I32" s="25"/>
      <c r="J32" s="17" t="s">
        <v>58</v>
      </c>
      <c r="K32" s="17"/>
      <c r="L32" s="17"/>
      <c r="M32" s="87">
        <v>23.9</v>
      </c>
      <c r="N32" s="87">
        <v>2.2000000000000002</v>
      </c>
      <c r="O32" s="88">
        <f>AI49</f>
        <v>11.162597500000004</v>
      </c>
      <c r="P32" s="86">
        <f>M32*N32*O32</f>
        <v>586.92937655000014</v>
      </c>
      <c r="Q32" s="108" t="s">
        <v>216</v>
      </c>
      <c r="R32" s="17"/>
      <c r="S32" s="30"/>
      <c r="T32" s="31"/>
      <c r="U32" s="31"/>
      <c r="V32" s="31"/>
      <c r="W32" s="31"/>
      <c r="X32" s="31"/>
      <c r="Y32" s="31"/>
      <c r="Z32" s="31"/>
      <c r="AA32" s="32"/>
      <c r="AB32" s="17"/>
      <c r="AC32" s="121"/>
      <c r="AD32" s="121"/>
      <c r="AE32" s="114" t="s">
        <v>153</v>
      </c>
      <c r="AF32" s="114" t="s">
        <v>122</v>
      </c>
      <c r="AG32" s="114" t="s">
        <v>123</v>
      </c>
      <c r="AH32" s="114" t="s">
        <v>124</v>
      </c>
      <c r="AI32" s="114" t="s">
        <v>154</v>
      </c>
      <c r="AJ32" s="114" t="s">
        <v>155</v>
      </c>
      <c r="AK32" s="17"/>
      <c r="AL32" s="63" t="s">
        <v>11</v>
      </c>
      <c r="AM32" s="64">
        <v>28</v>
      </c>
      <c r="AN32" s="64">
        <v>3350</v>
      </c>
      <c r="AO32" s="64">
        <v>0.14000000000000001</v>
      </c>
      <c r="AP32" s="64">
        <v>0.66</v>
      </c>
      <c r="AQ32" s="64">
        <v>0.7</v>
      </c>
      <c r="AR32" s="64">
        <v>0.78</v>
      </c>
      <c r="AS32" s="64">
        <v>0.17</v>
      </c>
      <c r="AT32" s="64">
        <v>0.92</v>
      </c>
      <c r="AU32" s="64">
        <v>9.3000000000000007</v>
      </c>
      <c r="AV32" s="64">
        <v>9.1</v>
      </c>
      <c r="AW32" s="17"/>
      <c r="AX32" s="17"/>
      <c r="AY32" s="17"/>
      <c r="AZ32" s="17"/>
      <c r="BA32" s="4"/>
      <c r="BB32" s="4"/>
      <c r="BC32" s="4"/>
      <c r="BD32" s="4"/>
      <c r="BE32" s="2"/>
    </row>
    <row r="33" spans="1:58">
      <c r="A33" s="17"/>
      <c r="B33" s="103"/>
      <c r="C33" s="17" t="s">
        <v>31</v>
      </c>
      <c r="D33" s="120">
        <v>55</v>
      </c>
      <c r="E33" s="86" t="s">
        <v>30</v>
      </c>
      <c r="F33" s="17"/>
      <c r="G33" s="24"/>
      <c r="H33" s="17"/>
      <c r="I33" s="25"/>
      <c r="J33" s="17"/>
      <c r="K33" s="17"/>
      <c r="L33" s="17" t="s">
        <v>59</v>
      </c>
      <c r="M33" s="86">
        <f>SUM(M29:M32)</f>
        <v>165.9</v>
      </c>
      <c r="N33" s="17"/>
      <c r="O33" s="17"/>
      <c r="P33" s="86">
        <f>SUM(P29:P32)</f>
        <v>5223.9766440500007</v>
      </c>
      <c r="Q33" s="24"/>
      <c r="R33" s="17"/>
      <c r="S33" s="122">
        <v>2.4</v>
      </c>
      <c r="T33" s="37" t="s">
        <v>20</v>
      </c>
      <c r="U33" s="17"/>
      <c r="V33" s="17"/>
      <c r="W33" s="17"/>
      <c r="X33" s="17"/>
      <c r="Y33" s="17"/>
      <c r="Z33" s="17"/>
      <c r="AA33" s="24"/>
      <c r="AB33" s="17"/>
      <c r="AC33" s="25" t="s">
        <v>170</v>
      </c>
      <c r="AD33" s="121"/>
      <c r="AE33" s="15">
        <f>(($AE8*AM8+$AE9*AM9+$AE10*AM10+$AE11*AM11+$AE12*AM12+$AE13*AM13+$AE14*AM14+$AE15*AM15+$AE16*AM16+$AE17*AM17+$AE18*AM18+$AE19*AM19+$AE20*AM20+$AE21*AM21+$AE21*AM21+$AE22*AM22+$AE23*AM23+$AE24*AM24+$AE25*AM25+$AE26*AM26+$AE27*AM27+$AE28*AM28+$AE29*AM29)/100)/AE30*100</f>
        <v>22.204000000000004</v>
      </c>
      <c r="AF33" s="15">
        <f>((AF8*AM8+AF9*AM9+AF10*AM10+AF11*AM11+AF12*AM12+AF13*AM13+AF14*AM14+AF15*AM15+AF16*AM16+AF17*AM17+AF18*AM18+AF19*AM19+AF20*AM20+AF21*AM21+AF21*AM21+AF22*AM22+AF23*AM23+AF24*AM24+AF25*AM25+AF26*AM26+AF27*AM27+AF28*AM28+AF29*AM29)/100)/AF30*100</f>
        <v>20.178000000000001</v>
      </c>
      <c r="AG33" s="15">
        <f>((AG8*AM8+AG9*AM9+AG10*AM10+AG11*AM11+AG12*AM12+AG13*AM13+AG14*AM14+AG15*AM15+AG16*AM16+AG17*AM17+AG18*AM18+AG19*AM19+AG20*AM20+AG21*AM21+AG22*AM22+AG23*AM23+AG24*AM24+AG25*AM25+AG26*AM26+AG27*AM27+AG28*AM28+AG29*AM29)/100)/AG30*100</f>
        <v>19.395</v>
      </c>
      <c r="AH33" s="15">
        <f>((AH8*AM8+AH9*AM9+AH10*AM10+AH11*AM11+AH12*AM12+AH13*AM13+AH14*AM14+AH15*AM15+AH16*AM16+AH17*AM17+AH18*AM18+AH19*AM19+AH20*AM20+AH21*AM21+AH22*AM22+AH23*AM23+AH24*AM24+AH25*AM25+AH26*AM26+AH27*AM27+AH28*AM28+AH29*AM29)/100)/AH30*100</f>
        <v>18.124000000000002</v>
      </c>
      <c r="AI33" s="15">
        <f>((AI8*AM8+AI9*AM9+AI10*AM10+AI11*AM11+AI12*AM12+AI13*AM13+AI14*AM14+AI15*AM15+AI16*AM16+AI17*AM17+AI18*AM18+AI19*AM19+AI20*AM20+AI21*AM21+AI22*AM22+AI23*AM23+AI24*AM24+AI25*AM25+AI26*AM26+AI27*AM27+AI28*AM28+AI29*AM29)/100)/AI30*100</f>
        <v>15.054000000000004</v>
      </c>
      <c r="AJ33" s="15">
        <f>((AJ8*AM8+AJ9*AM9+AJ10*AM10+AJ11*AM11+AJ12*AM12+AJ13*AM13+AJ14*AM14+AJ15*AM15+AJ16*AM16+AJ17*AM17+AJ18*AM18+AJ19*AM19+AJ20*AM20+AJ21*AM21+AJ22*AM22+AJ23*AM23+AJ24*AM24+AJ25*AM25+AJ26*AM26+AJ27*AM27+AJ28*AM28+AJ29*AM29)/100)/AJ30*100</f>
        <v>18.07</v>
      </c>
      <c r="AK33" s="17"/>
      <c r="AL33" s="72" t="s">
        <v>181</v>
      </c>
      <c r="AM33" s="64">
        <v>35</v>
      </c>
      <c r="AN33" s="64">
        <v>2900</v>
      </c>
      <c r="AO33" s="64">
        <v>0.63</v>
      </c>
      <c r="AP33" s="64">
        <v>0.3</v>
      </c>
      <c r="AQ33" s="64">
        <v>2.02</v>
      </c>
      <c r="AR33" s="64">
        <v>1.71</v>
      </c>
      <c r="AS33" s="64">
        <v>0.46</v>
      </c>
      <c r="AT33" s="64">
        <v>1.5</v>
      </c>
      <c r="AU33" s="64">
        <v>3.5</v>
      </c>
      <c r="AV33" s="64">
        <v>12</v>
      </c>
      <c r="AW33" s="17"/>
      <c r="AX33" s="17"/>
      <c r="AY33" s="17"/>
      <c r="AZ33" s="17"/>
      <c r="BA33" s="4"/>
      <c r="BB33" s="4"/>
      <c r="BC33" s="4"/>
      <c r="BD33" s="4"/>
      <c r="BE33" s="2"/>
    </row>
    <row r="34" spans="1:58">
      <c r="A34" s="17"/>
      <c r="B34" s="103"/>
      <c r="C34" s="17" t="s">
        <v>26</v>
      </c>
      <c r="D34" s="123">
        <f>D32+D33*4</f>
        <v>1920</v>
      </c>
      <c r="E34" s="86" t="s">
        <v>30</v>
      </c>
      <c r="F34" s="17"/>
      <c r="G34" s="24"/>
      <c r="H34" s="17"/>
      <c r="I34" s="25"/>
      <c r="J34" s="17"/>
      <c r="K34" s="17"/>
      <c r="L34" s="17"/>
      <c r="M34" s="86"/>
      <c r="N34" s="17"/>
      <c r="O34" s="17"/>
      <c r="P34" s="86"/>
      <c r="Q34" s="24"/>
      <c r="R34" s="17"/>
      <c r="S34" s="25"/>
      <c r="T34" s="17"/>
      <c r="U34" s="17"/>
      <c r="V34" s="17"/>
      <c r="W34" s="17"/>
      <c r="X34" s="17"/>
      <c r="Y34" s="17"/>
      <c r="Z34" s="17"/>
      <c r="AA34" s="24"/>
      <c r="AB34" s="17"/>
      <c r="AC34" s="25" t="s">
        <v>7</v>
      </c>
      <c r="AD34" s="121"/>
      <c r="AE34" s="15">
        <f>((AE8*AN8+AE9*AN9+AE10*AN10+AE11*AN11+AE12*AN12+AE13*AN13+AE14*AN14+AE15*AN15+AE16*AN16+AE17*AN17+AE18*AN18+AE19*AN19+AE29*AN20+AE21*AN21+AE22*AN22+AE23*AN23+AE24*AN24+AE25*AN25+AE26*AN26+AE27*AN27+AE28*AN28+AE29*AN29)/100)/AE30*100</f>
        <v>3467.7300000000005</v>
      </c>
      <c r="AF34" s="15">
        <f>((AF8*AN8+AF9*AN9+AF10*AN10+AF11*AN11+AF12*AN12+AF13*AN13+AF14*AN14+AF15*AN15+AF16*AN16+AF17*AN17+AF18*AN18+AF19*AN19+AF20*AN20+AF21*AN21+AF23*AN23+AF24*AN24+AF25*AN25+AF26*AN26+AF27*AN27+AF28*AN28+AF29*AN29)/100)/AF30*100</f>
        <v>3236.52</v>
      </c>
      <c r="AG34" s="15">
        <f>((AG8*AN8+AG9*AN9+AG10*AN10+AG11*AN11+AG12*AN12+AG13*AN13+AG14*AN14+AG15*AN15+AG16*AN16+AG17*AN17+AG19*AN19+AG20*AN20+AG21*AN21+AG22*AN22+AL46+AM46+AG23*AN23+AG24*AN24+AG25*AN25+AG26*AN26+AG27*AN27+AG28*AN28+AG29*AN29)/100)/AG30*100</f>
        <v>3230.7050000000004</v>
      </c>
      <c r="AH34" s="15">
        <f>((AH8*AN8+AH9*AN9+AH10*AN10+AH11*AN11+AH12*AN12+AH13*AN13+AH14*AN14+AH15*AN15+AH16*AN16+AH17*AN17+AH18*AN18+AH19*AN19+AH20*AN20+AH21*AN21+AH22*AN22+AH23*AN23+AH24*AN24+AH25*AN25+AH26*AN26+AH27*AN27+AH28*AN28+AH29*AN29)/100)/AH30*100</f>
        <v>3280.2600000000007</v>
      </c>
      <c r="AI34" s="15">
        <f>((AI8*AN8+AI9*AN9+AI10*AN10+AI11*AN11+AI12*AN12+AI13*AN13+AI14*AN14+AI15*AN15+AI16*AN16+AI17*AN17+AI18*AN18+AI19*AN19+AI20*AN20+AI21*AN21+AI22*AN22+AI23*AN23+AI24*AN24+AI25*AN25+AI26*AN26+AI27*AN27+AI28*AN28+AI29*AN29)/100)/AI30*100</f>
        <v>3175.0180000000005</v>
      </c>
      <c r="AJ34" s="15">
        <f>((AJ8*AN8+AJ9*AN9+AJ10*AN10+AJ11*AN11+AJ12*AN12+AJ13*AN13+AJ14*AN14+AJ15*AN15+AJ16*AN16+AJ17*AN17+AJ18*AN18+AJ19*AN19+AJ20*AN20+AJ21*AN21+AJ22*AN22+AJ23*AN23+AJ24*AN24+AJ25*AN25+AJ26*AN26+AJ27*AN27+AJ28*AN28+AJ29*AN29)/100)/AJ30*100</f>
        <v>3204.0999999999995</v>
      </c>
      <c r="AK34" s="17"/>
      <c r="AL34" s="63" t="s">
        <v>161</v>
      </c>
      <c r="AM34" s="64">
        <v>58</v>
      </c>
      <c r="AN34" s="64">
        <v>2550</v>
      </c>
      <c r="AO34" s="64">
        <v>6.7</v>
      </c>
      <c r="AP34" s="64">
        <v>2.5</v>
      </c>
      <c r="AQ34" s="64">
        <v>3.95</v>
      </c>
      <c r="AR34" s="64">
        <v>1.73</v>
      </c>
      <c r="AS34" s="64">
        <v>0.46</v>
      </c>
      <c r="AT34" s="64">
        <v>2.13</v>
      </c>
      <c r="AU34" s="64">
        <v>7.5</v>
      </c>
      <c r="AV34" s="64">
        <v>1</v>
      </c>
      <c r="AW34" s="17"/>
      <c r="AX34" s="17"/>
      <c r="AY34" s="17"/>
      <c r="AZ34" s="17"/>
      <c r="BA34" s="4"/>
      <c r="BB34" s="4"/>
      <c r="BC34" s="4"/>
      <c r="BD34" s="4"/>
      <c r="BE34" s="2"/>
    </row>
    <row r="35" spans="1:58" ht="15">
      <c r="A35" s="17"/>
      <c r="B35" s="103">
        <v>1.1200000000000001</v>
      </c>
      <c r="C35" s="17" t="s">
        <v>242</v>
      </c>
      <c r="D35" s="94">
        <f>M124</f>
        <v>8.0926829268292693</v>
      </c>
      <c r="E35" s="86" t="s">
        <v>30</v>
      </c>
      <c r="F35" s="17"/>
      <c r="G35" s="73" t="s">
        <v>216</v>
      </c>
      <c r="H35" s="17"/>
      <c r="I35" s="25"/>
      <c r="J35" s="17" t="s">
        <v>64</v>
      </c>
      <c r="K35" s="17"/>
      <c r="L35" s="17"/>
      <c r="M35" s="86">
        <f>M10</f>
        <v>8.1999999999999993</v>
      </c>
      <c r="N35" s="17" t="s">
        <v>51</v>
      </c>
      <c r="O35" s="17"/>
      <c r="P35" s="17"/>
      <c r="Q35" s="24"/>
      <c r="R35" s="17"/>
      <c r="S35" s="25"/>
      <c r="T35" s="17" t="s">
        <v>128</v>
      </c>
      <c r="U35" s="17"/>
      <c r="V35" s="17"/>
      <c r="W35" s="124"/>
      <c r="X35" s="87">
        <v>500</v>
      </c>
      <c r="Y35" s="17" t="s">
        <v>44</v>
      </c>
      <c r="Z35" s="17"/>
      <c r="AA35" s="24"/>
      <c r="AB35" s="17"/>
      <c r="AC35" s="25" t="s">
        <v>171</v>
      </c>
      <c r="AD35" s="121"/>
      <c r="AE35" s="15">
        <f>((AE8*$AO8+AE9*$AO9+AE10*AO10+AE11*AO11+AE12*AO12+AE13*AO13+AE14*AO14+AE15*AO15+AE16*AO16+AE17*AO17+AE18*AO18+AE19*AO19+AE20*AO20+AE21*AO21+AE22*AO22+AE23*AO23+AE24*AO24+AE25*AO25+AE26*AO26+AE27*AO27+AE28*AO28+AE29*AO29)/100)/AE30*100</f>
        <v>1.0176149999999999</v>
      </c>
      <c r="AF35" s="15">
        <f>((AF8*AO8+AF9*AO9+AF10*AO10+AF11*AO11+AF12*AO12+AF13*AO13+AF14*AO14+AF15*AO15+AF16*AO16+AF17*AO17+AF18*AO18+AF19*AO19+AF20*AO20+AF21*AO21+AF23*AO23+AF24*AO24+AF25*AO25+AF26*AO26+AF27*AO27+AF28*AO28+AF29*AO29)/100)/AF30*100</f>
        <v>0.93054000000000003</v>
      </c>
      <c r="AG35" s="15">
        <f>((AG8*AO8+AG9*AO9+AG10*AO10+AG11*AO11+AG13*AO13+AG15*AO15+AG16*AO16+AG21*AO21+AG23*AO23+AG24*AO24+AG25*AO25+AG26*AO26+AG27*AO27+AG28*AO28+AG29*AO29)/100)/AG30*100</f>
        <v>0.79486000000000023</v>
      </c>
      <c r="AH35" s="15">
        <f>((AH8*AO8+AH9*AO9+AH10*AO10+AH11*AO11+AH12*AO12+AH13*AO13+AH14*AO14+AH15*AO15+AH16*AO16+AH17*AO17+AH18*AO18+AH19*AO19+AH20*AO20+AH21*AO21+AH22*AO22+AH23*AO23+AH24*AO24+AH25*AO25+AH26*AO26+AH27*AO27+AH28*AO28+AH29*AO29)/100)/AH30*100</f>
        <v>0.81842000000000026</v>
      </c>
      <c r="AI35" s="15">
        <f>((AI8*AO8+AI9*AO9+AI10*AO10+AI11*AO11+AI12*AO12+AI13*AO13+AI14*AO14+AI15*AO15+AI16*AO16+AI17*AO17+AI18*AO18+AI19*AO19+AI20*AO20+AI21*AO21+AI22*AO22+AI23*AO23+AI24*AO24+AI25*AO25+AI26*AO26+AI27*AO27+AI28*AO28+AI29*AO29)/100)/AI30*100</f>
        <v>0.87186500000000033</v>
      </c>
      <c r="AJ35" s="15">
        <f>((AJ8*AO8+AJ9*AO9+AJ10*AO10+AJ11*AO11+AJ13*AO13+AJ15*AO15+AJ16*AO16+AJ21*AO21+AJ23*AO23+AJ24*AO24+AJ25*AO25+AJ26*AO26+AJ27*AO27+AJ28*AO28+AJ29*AO29)/100)/AJ30*100</f>
        <v>0.90765000000000007</v>
      </c>
      <c r="AK35" s="17"/>
      <c r="AL35" s="63" t="s">
        <v>182</v>
      </c>
      <c r="AM35" s="64">
        <v>64</v>
      </c>
      <c r="AN35" s="64">
        <v>2550</v>
      </c>
      <c r="AO35" s="64">
        <v>5</v>
      </c>
      <c r="AP35" s="64">
        <v>3.51</v>
      </c>
      <c r="AQ35" s="64">
        <v>4.87</v>
      </c>
      <c r="AR35" s="64">
        <v>2.2799999999999998</v>
      </c>
      <c r="AS35" s="64">
        <v>0.66</v>
      </c>
      <c r="AT35" s="64">
        <v>2.6</v>
      </c>
      <c r="AU35" s="64">
        <v>10</v>
      </c>
      <c r="AV35" s="64">
        <v>1</v>
      </c>
      <c r="AW35" s="17"/>
      <c r="AX35" s="17"/>
      <c r="AY35" s="17"/>
      <c r="AZ35" s="17"/>
      <c r="BA35" s="4"/>
      <c r="BB35" s="4"/>
      <c r="BC35" s="4"/>
      <c r="BD35" s="4"/>
      <c r="BE35" s="2"/>
    </row>
    <row r="36" spans="1:58">
      <c r="A36" s="17"/>
      <c r="B36" s="125"/>
      <c r="C36" s="17"/>
      <c r="D36" s="17"/>
      <c r="E36" s="86"/>
      <c r="F36" s="17"/>
      <c r="G36" s="24"/>
      <c r="H36" s="17"/>
      <c r="I36" s="25"/>
      <c r="J36" s="17"/>
      <c r="K36" s="17"/>
      <c r="L36" s="17"/>
      <c r="M36" s="17"/>
      <c r="N36" s="17"/>
      <c r="O36" s="17"/>
      <c r="P36" s="17"/>
      <c r="Q36" s="24"/>
      <c r="R36" s="17"/>
      <c r="S36" s="25"/>
      <c r="T36" s="17" t="s">
        <v>129</v>
      </c>
      <c r="U36" s="17"/>
      <c r="V36" s="17"/>
      <c r="W36" s="124"/>
      <c r="X36" s="126">
        <v>7000</v>
      </c>
      <c r="Y36" s="17" t="s">
        <v>83</v>
      </c>
      <c r="Z36" s="17"/>
      <c r="AA36" s="24"/>
      <c r="AB36" s="17"/>
      <c r="AC36" s="25" t="s">
        <v>172</v>
      </c>
      <c r="AD36" s="121"/>
      <c r="AE36" s="15">
        <f>((AE8*AP8+AE9*AP9+AE10*AP10+AE11*AP11+AE12*AP12+AE13*AP13+AE14*AP14+AE15*AP15+AE16*AP16+AE17*AP17+AE18*AP18+AE19*AP19+AE20*AP20+AE21*AP21+AE22*AP22+AE23*AP23+AE24*AP24+AE25*AP25+AE27*AP27+AE28*AP28+AE29*AP29)/100)/AE30*100</f>
        <v>0.842275</v>
      </c>
      <c r="AF36" s="15">
        <f>((AF8*AP8+AF9*AP9+AF10*AP10+AF11*AP11+AF12*AP12+AF13*AP13+AF14*AP14+AF15*AP15+AF16*AP16+AF17*AP17+AF18*AP18+AF19*AP19+AF20*AP20+AF21*AP21+AF22*AP22+AF23*AP23+AF24*AP24+AF25*AP25+AF27*AP27+AF28*AP28+AF29*AP29)/100)/AF30*100</f>
        <v>0.72847499999999998</v>
      </c>
      <c r="AG36" s="15">
        <f>((AG8*AP8+AG9*AP9+AG10*AP10+AG11*AP11+AG12*AP12+AG13*AP13+AG14*AP14+AG15*AP15+AG16*AP16+AG17*AP17+AG18*AP18+AG19*AP19+AG20*AP20+AG21*AP21+AG22*AP22+AG23*AP23+AG24*AP24+AG25*AP25+AG27*AP27+AG28*AP28+AG29*AP29)/100)/AG30*100</f>
        <v>0.70027500000000009</v>
      </c>
      <c r="AH36" s="15">
        <f>((AH8*AP8+AH9*AP9+AH10*AP10+AH11*AP11+AH12*AP12+AH13*AP13+AH14*AP14+AH15*AP15+AH16*AP16+AH17*AP17+AH18*AP18+AH19*AP19+AH20*AP20+AH21*AP21+AH22*AP22+AH23*AP23+AH24*AP24+AH25*AP25+AH26*AP26+AH27*AP27+AH28*AP28+AH29*AP29)/100)/AH30*100</f>
        <v>0.65217500000000017</v>
      </c>
      <c r="AI36" s="15">
        <f>((AI8*AP8+AI9*AP9+AI10*AP10+AI11*AP11+AI12*AP12+AI13*AP13+AI14*AP14+AI15*AP15+AI16*AP16+AI17*AP17+AI18*AP18+AI19*AP19+AI20+AP20+AI21*AP21+AI22*AP22+AI23*AP23+AI24*AP24+AI25*AP25+AI27*AP27+AI28*AP28+AI29*AP29)/100)/AI30*100</f>
        <v>0.59582000000000013</v>
      </c>
      <c r="AJ36" s="15">
        <f>((AJ8*AP8+AJ9*AP9+AJ10*AP10+AJ11*AP11+AJ12*AP12+AJ13*AP13+AJ14*AP14+AJ15*AP15+AJ16*AP16+AJ17*AP17+AJ18*AP18+AJ19*AP19+AJ20*AP20+AJ21*AP21+AJ22*AP22+AJ23*AP23+AJ24*AP24+AJ25*AP25+AJ26*AP26+AJ27*AP27+AJ28*AP28+AJ29*AP29)/100)/AJ30*100</f>
        <v>0.69724999999999993</v>
      </c>
      <c r="AK36" s="17"/>
      <c r="AL36" s="63" t="s">
        <v>183</v>
      </c>
      <c r="AM36" s="64">
        <v>13</v>
      </c>
      <c r="AN36" s="64">
        <v>3300</v>
      </c>
      <c r="AO36" s="64">
        <v>0.7</v>
      </c>
      <c r="AP36" s="64">
        <v>7.0000000000000007E-2</v>
      </c>
      <c r="AQ36" s="64">
        <v>0.97</v>
      </c>
      <c r="AR36" s="64">
        <v>0.34</v>
      </c>
      <c r="AS36" s="64">
        <v>0.19</v>
      </c>
      <c r="AT36" s="64">
        <v>0.89</v>
      </c>
      <c r="AU36" s="64">
        <v>7</v>
      </c>
      <c r="AV36" s="64"/>
      <c r="AW36" s="17"/>
      <c r="AX36" s="17"/>
      <c r="AY36" s="17"/>
      <c r="AZ36" s="17"/>
      <c r="BA36" s="4"/>
      <c r="BB36" s="4"/>
      <c r="BC36" s="4"/>
      <c r="BD36" s="4"/>
      <c r="BE36" s="2"/>
    </row>
    <row r="37" spans="1:58" ht="15">
      <c r="A37" s="17"/>
      <c r="B37" s="125"/>
      <c r="C37" s="127" t="s">
        <v>184</v>
      </c>
      <c r="D37" s="128">
        <f>(D34+D35)-D30</f>
        <v>298.59283943478567</v>
      </c>
      <c r="E37" s="86" t="s">
        <v>30</v>
      </c>
      <c r="F37" s="129">
        <f>D37/D30*100</f>
        <v>18.324201786659678</v>
      </c>
      <c r="G37" s="24" t="s">
        <v>0</v>
      </c>
      <c r="H37" s="17"/>
      <c r="I37" s="25"/>
      <c r="J37" s="83" t="s">
        <v>65</v>
      </c>
      <c r="K37" s="83"/>
      <c r="L37" s="83"/>
      <c r="M37" s="69">
        <f>P33/M35</f>
        <v>637.07032244512209</v>
      </c>
      <c r="N37" s="83" t="s">
        <v>30</v>
      </c>
      <c r="O37" s="17"/>
      <c r="P37" s="35" t="s">
        <v>215</v>
      </c>
      <c r="Q37" s="24"/>
      <c r="R37" s="17"/>
      <c r="S37" s="25"/>
      <c r="T37" s="17" t="s">
        <v>262</v>
      </c>
      <c r="U37" s="17"/>
      <c r="V37" s="17"/>
      <c r="W37" s="124"/>
      <c r="X37" s="87">
        <v>137</v>
      </c>
      <c r="Y37" s="17" t="s">
        <v>60</v>
      </c>
      <c r="Z37" s="17"/>
      <c r="AA37" s="24"/>
      <c r="AB37" s="17"/>
      <c r="AC37" s="25" t="s">
        <v>173</v>
      </c>
      <c r="AD37" s="121"/>
      <c r="AE37" s="15">
        <f>((AE8*AQ8+AE9*AQ9+AE10*AQ10+AE11*AQ11+AE12*AQ12+AE13*AQ13+AE14*AQ14+AE15*AQ15+AE16*AQ16+AE17*AQ17+AE18*AQ18+AE19*AQ19+AE20*AQ20+AE21*AQ21+AE22*AQ22+AE23*AQ23+AE24*AQ24+AE25*AQ25+AE26*AQ26+AE27*AQ27+AE28*AQ28+AE29*AQ29)/100)/AE30*100</f>
        <v>1.4466550000000002</v>
      </c>
      <c r="AF37" s="15">
        <f>((AF8*AQ8+AF9*AQ9+AF10*AQ10+AF11*AQ11+AF12*AQ12+AF13*AQ13+AF14*AQ14+AF15*AQ15+AF16*AQ16+AF17*AQ17+AF18*AQ18+AF19*AQ19+AF20*AQ20+AF21*AQ21+AF22*AQ22+AF23*AQ23+AF24*AQ24+AF25*AQ25+AF26*AQ26+AF27*AQ27+AF28*AQ28+AF29*AQ29)/100)/AF30*100</f>
        <v>1.2462550000000001</v>
      </c>
      <c r="AG37" s="15">
        <f>((AG8*AQ8+AG9*AQ9+AG10*AQ10+AG11*AQ11+AG12*AQ12+AG13*AQ13+AG14*AQ14+AG15*AQ15+AG16*AQ16+AG17*AQ17+AG18*AQ18+AG19*AQ19+AG20*AQ20+AG21*AQ21+AG22*AQ22+AG23*AQ23+AG24*AQ24+AG25*AQ25+AG26*AQ26+AG27*AQ27+AG28*AQ28+AG29*AQ29)/100)/AG30*100</f>
        <v>1.1303950000000003</v>
      </c>
      <c r="AH37" s="15">
        <f>((AH8*AQ8+AH9*AQ9+AH10*AQ10+AH11*AQ11+AH12*AQ12+AH13*AQ13+AH14*AQ14+AH15*AQ15+AH16*AQ16+AH17*AQ17+AH18*AQ18+AH19*AQ19+AH20*AQ20+AH21*AQ21+AH22*AQ22+AH23*AQ23+AH24*AQ24+AH25*AQ25+AH26*AQ26+AH27*AQ27+AH28*AQ28+AH29*AQ29)/100)/AH30*100</f>
        <v>1.0533150000000002</v>
      </c>
      <c r="AI37" s="15">
        <f>((AI8*AQ8+AI9*AQ9+AI10*AQ10+AI11*AQ11+AI12*AQ12+AI13*AQ13+AI14*AQ14+AI15*AQ15+AI16*AQ16+AI17*AQ17+AI18*AQ18+AI19*AQ19+AI20*AQ20+AI21*AQ21+AI22*AQ22+AI23*AQ23+AI24*AQ24+AI25*AQ25+AI26*AQ26+AI27*AQ27+AI28*AQ28+AI29*AQ29)/100)/AI30*100</f>
        <v>0.77258500000000008</v>
      </c>
      <c r="AJ37" s="15">
        <f>((AJ8*AQ8+AJ9*AQ9+AJ10*AQ10+AJ11*AQ11+AJ12*AQ12+AJ13*AQ13+AJ14*AQ14+AJ15*AQ15+AJ16*AQ16+AJ17*AQ17+AJ18*AQ18+AJ19*AQ19+AJ20*AQ20+AJ21*AQ21+AJ22*AQ22+AJ23*AQ23+AJ24*AQ24+AJ25*AQ25+AJ26*AQ26+AJ27*AQ27+AJ28*AQ28+AJ29*AQ29)/100)/AJ30*100</f>
        <v>1.0284</v>
      </c>
      <c r="AK37" s="17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17"/>
      <c r="AX37" s="17"/>
      <c r="AY37" s="17"/>
      <c r="AZ37" s="17"/>
      <c r="BA37" s="4"/>
      <c r="BB37" s="4"/>
      <c r="BC37" s="4"/>
      <c r="BD37" s="4"/>
      <c r="BE37" s="2"/>
    </row>
    <row r="38" spans="1:58" ht="15">
      <c r="A38" s="18"/>
      <c r="B38" s="130"/>
      <c r="C38" s="31"/>
      <c r="D38" s="31"/>
      <c r="E38" s="31"/>
      <c r="F38" s="31"/>
      <c r="G38" s="32"/>
      <c r="H38" s="17"/>
      <c r="I38" s="25"/>
      <c r="J38" s="17"/>
      <c r="K38" s="17"/>
      <c r="L38" s="17"/>
      <c r="M38" s="17"/>
      <c r="N38" s="17"/>
      <c r="O38" s="17"/>
      <c r="P38" s="17"/>
      <c r="Q38" s="24"/>
      <c r="R38" s="17"/>
      <c r="S38" s="25"/>
      <c r="T38" s="17"/>
      <c r="U38" s="17"/>
      <c r="V38" s="17"/>
      <c r="W38" s="86"/>
      <c r="X38" s="86"/>
      <c r="Y38" s="17"/>
      <c r="Z38" s="17"/>
      <c r="AA38" s="24"/>
      <c r="AB38" s="17"/>
      <c r="AC38" s="25" t="s">
        <v>174</v>
      </c>
      <c r="AD38" s="121"/>
      <c r="AE38" s="15">
        <f>((AE8*AR8+AE9*AR9+AE10*AR10+AE11*AR11+AE12*AR12+AE13*AR13+AE14*AR14+AE15*AR15+AE16*AR16+AE17*AR17+AE18*AR18+AQ19*AR19+AE20*AR20+AE21*AR21+AE22*AR22+AE23*AR23+AE24*AR24+AE25*AR25+AE26*AR26+AE27*AR27+AE28*AR28+AE29*AR29)/100)/AE30*100</f>
        <v>0.92700300000000024</v>
      </c>
      <c r="AF38" s="15">
        <f>((AF8*AR8+AF9*AR9+AF10*AR10+AF11*AR11+AF12*AR12+AF13*AR13+AF14*AR14+AF15*AR15+AF16*AR16+AF17*AQ17+AF18*AQ18+AF19*AQ19+AF20*AQ20+AF21*AR21+AF22*AQ22+AF23*AR23+AF24*AR24+AF25*AR25+AF26*AR26+AF27*AR27+AF28*AR28+AF29*AR29)/100)/AF30*100</f>
        <v>0.78796999999999995</v>
      </c>
      <c r="AG38" s="15">
        <f>((AG8*AR8+AG9*AR9+AG10*AR10+AG11*AR11+AG12*AR12+AG13*AR13+AG14*AR14+AG15*AR15+AG16*AR16+AG17*AR17+AG18*AR18+AG19*AR19+AG20*AR20+AG21*AR21+AG22*AR22+AG23*AR23+AG24*AR24+AG25*AR25+AG26*AR26+AG27*AR27+AG28*AR28+AG29*AR29)/100)/AG30*100</f>
        <v>0.70443000000000011</v>
      </c>
      <c r="AH38" s="15">
        <f>((AH8*AR8+AH9*AR9+AH10*AR10+AH11*AR11+AH12*AR12+AH13*AR13+AH14*AR14+AH15*AR15+AH16*AR16+AH17*AR17+AH18*AR18+AH19*AR19+AH20*AR20+AH21*AR21+AH22*AR22+AH23*AR23+AH24*AR24+AH25*AR25+AH26*AR26+AH27*AR27+AH28*AR28+AH29*AR29)/100)/AH30*100</f>
        <v>0.65821000000000007</v>
      </c>
      <c r="AI38" s="15">
        <f>((AI8*AR8+AI9*AR9+AI10*AR10+AI11*AR11+AI12*AR12+AI13*AR13+AI14*AR14+AI15*AR15+AI16*AR16+AI17*AR17+AI18*AR18+AI19*AR19+AI20*AR20+AI21*AR21+AI22*AR22+AI23*AR23+AI24*AR24+AI25*AR25+AI26*AR26+AI27*AR27+AI28*AR28+AI29*AR29)/100)/AI30*100</f>
        <v>0.50116000000000016</v>
      </c>
      <c r="AJ38" s="15">
        <f>((AJ8*AR8+AJ9*AR9+AJ10*AR10+AJ11*AR11+AJ12*AR12+AJ13*AR13+AJ14*AR14+AJ15*AR15+AJ16*AR16+AJ17*AQ17+AJ18*AQ18+AJ19*AQ19+AJ20*AQ20+AJ21*AR21+AJ22*AQ22+AJ23*AR23+AJ24*AR24+AJ25*AR25+AJ26*AR26+AJ27*AR27+AJ28*AR28+AJ29*AR29)/100)/AJ30*100</f>
        <v>0.72389999999999999</v>
      </c>
      <c r="AK38" s="34" t="s">
        <v>292</v>
      </c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34" t="s">
        <v>292</v>
      </c>
      <c r="AX38" s="17"/>
      <c r="AY38" s="17"/>
      <c r="AZ38" s="17"/>
      <c r="BA38" s="4"/>
      <c r="BB38" s="4"/>
      <c r="BC38" s="4"/>
      <c r="BD38" s="4"/>
      <c r="BE38" s="2"/>
    </row>
    <row r="39" spans="1:58" ht="15">
      <c r="A39" s="18"/>
      <c r="B39" s="131"/>
      <c r="C39" s="18"/>
      <c r="D39" s="18"/>
      <c r="E39" s="18"/>
      <c r="F39" s="18"/>
      <c r="G39" s="24"/>
      <c r="H39" s="17"/>
      <c r="I39" s="25"/>
      <c r="J39" s="17"/>
      <c r="K39" s="17"/>
      <c r="L39" s="17"/>
      <c r="M39" s="17"/>
      <c r="N39" s="17"/>
      <c r="O39" s="17"/>
      <c r="P39" s="17"/>
      <c r="Q39" s="24"/>
      <c r="R39" s="17"/>
      <c r="S39" s="25"/>
      <c r="T39" s="17" t="s">
        <v>130</v>
      </c>
      <c r="U39" s="17"/>
      <c r="V39" s="17"/>
      <c r="W39" s="86"/>
      <c r="X39" s="69">
        <f>(X37/30*X36)/X35</f>
        <v>63.93333333333333</v>
      </c>
      <c r="Y39" s="17" t="s">
        <v>63</v>
      </c>
      <c r="Z39" s="35" t="s">
        <v>215</v>
      </c>
      <c r="AA39" s="24"/>
      <c r="AB39" s="17"/>
      <c r="AC39" s="25" t="s">
        <v>175</v>
      </c>
      <c r="AD39" s="121"/>
      <c r="AE39" s="15">
        <f>((AE8*AS8+AE9*AS9+AE10*AS10+AE11*AS11+AE12*AS12+AE13*AS13+AE14*AS14+AE15*AS15+AE16*AS16+AE17*AS17+AE18*AS18+AE19*AS19+AE20*AS20+AE21*AS21+AE23*AS23+AE24*AS24+AE25*AS25+AE26*AS26+AE27*AS27+AE28*AS28+AE29*AS29)/100)/AE30*100</f>
        <v>0.28017000000000003</v>
      </c>
      <c r="AF39" s="15">
        <f>((AF8*AS8+AF9*AS9+AF10*AS10+AF11*AS11+AF12*AS12+AF13*AS13+AF14*AS14+AF15*AS15+AF16*AS16+AF17*AS17+AF18*AS18+AF19*AS19+AF20*AS20+AF21*AS21+AF22*AS22+AF23*AS23+AF24*AS24+AF25*AS25+AF26*AS26+AF27*AS27+AF28*AS28+AF29*AS29)/100)/AF30*100</f>
        <v>0.25938999999999995</v>
      </c>
      <c r="AG39" s="15">
        <f>((AG8*AS8+AG9*AS9+AG10*AS10+AG11*AS11+AG12*AS12+AG13*AS13+AG14*AS14+AG15*AS15+AG16*AS16+AG17*AS17+AG18*AS18+AG19*AS19+AG20*AS20+AG21*AS21+AG22*AS22+AG23*AS23+AG24*AS24+AG25*AS25+AG26*AS26+AG27*AS27+AG28*AS28+AG29*AS29)/100)/AG30*100</f>
        <v>0.24031000000000005</v>
      </c>
      <c r="AH39" s="15">
        <f>((AH8*AS8+AH9*AS9+AH10*AS10+AH11*AS11+AH12*AS12+AH13*AS13+AH14*AS14+AH15*AS15+AH16*AS16+AH17*AS17+AH18*AS18+AH19*AS19+AH20*AS20+AH21*AS21+AH22*AS22+AH23*AS23+AH24*AS24+AH25*AS25+AH26*AS26+AH27*AS27+AH28*AS28+AH29*AS29)/100)/AH30*100</f>
        <v>0.20557</v>
      </c>
      <c r="AI39" s="15">
        <f>((AI8*AS8+AI9*AS9+AI10*AS10+AI11*AS11+AI12*AS12+AI13*AS13+AI14*AS14+AI15*AS15+AI16*AS16+AI17*AS17+AI18*AS18+AI19*AS19+AI20*AS20+AI21*AS21+AI22*AS22+AI23*AS23+AI24*AS24+AI25*AS25+AI26*AS26+AI27*AS27+AI28*AS28+AI29*AS29)/100)/AI30*100</f>
        <v>0.17845000000000003</v>
      </c>
      <c r="AJ39" s="15">
        <f>((AJ8*AS8+AJ9*AS9+AJ10*AS10+AJ11*AS11+AJ12*AS12+AJ13*AS13+AJ14*AS14+AJ15*AS15+AJ16*AS16+AJ17*AS17+AJ18*AS18+AJ19*AS19+AJ20*AS20+AJ21*AS21+AJ22*AS22+AJ23*AS23+AJ24*AS24+AJ25*AS25+AJ26*AS26+AJ27*AS27+AJ28*AS28+AJ29*AS29)/100)/AJ30*100</f>
        <v>0.22345000000000004</v>
      </c>
      <c r="AK39" s="17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17"/>
      <c r="AX39" s="17"/>
      <c r="AY39" s="17"/>
      <c r="AZ39" s="17"/>
      <c r="BA39" s="4"/>
      <c r="BB39" s="4"/>
      <c r="BC39" s="4"/>
      <c r="BD39" s="4"/>
      <c r="BE39" s="2"/>
    </row>
    <row r="40" spans="1:58" ht="15">
      <c r="A40" s="78"/>
      <c r="B40" s="132" t="s">
        <v>270</v>
      </c>
      <c r="C40" s="17"/>
      <c r="D40" s="17"/>
      <c r="E40" s="17"/>
      <c r="F40" s="17"/>
      <c r="G40" s="73" t="s">
        <v>294</v>
      </c>
      <c r="H40" s="17"/>
      <c r="I40" s="30"/>
      <c r="J40" s="31"/>
      <c r="K40" s="31"/>
      <c r="L40" s="31"/>
      <c r="M40" s="31"/>
      <c r="N40" s="31"/>
      <c r="O40" s="31"/>
      <c r="P40" s="31"/>
      <c r="Q40" s="32"/>
      <c r="R40" s="133"/>
      <c r="S40" s="30"/>
      <c r="T40" s="31"/>
      <c r="U40" s="31"/>
      <c r="V40" s="31"/>
      <c r="W40" s="31"/>
      <c r="X40" s="31"/>
      <c r="Y40" s="31"/>
      <c r="Z40" s="31"/>
      <c r="AA40" s="32"/>
      <c r="AB40" s="17"/>
      <c r="AC40" s="25" t="s">
        <v>176</v>
      </c>
      <c r="AD40" s="121"/>
      <c r="AE40" s="15">
        <f>((AE8*AT8+AE9*AT9+AE10*AT10+AE11*AT11+AE12*AT12+AE13*AT13+AE14*AT14+AE15*AT15+AE16*AT16+AE17*AT17+AE18*AT18+AE19*AT19+AE20*AT20+AE21*AT21+AE23*AT23+AE24*AT24+AE25*AT25+AE26*AT26+AE27*AT27+AE28*AT28+AE29*AT29)/100)/AE30*100</f>
        <v>0.89350000000000007</v>
      </c>
      <c r="AF40" s="15">
        <f>((AF8*AT8+AF9*AT9+AF10*AT10+AF11*AT11+AF12*AT12+AF13*AT13+AF14*AT14+AF15*AT15+AF16*AT16+AF17*AT17+AF18*AT18+AF19*AT19+AF20*AT20+AF21*AT21+AF22*AT22+AF23*AT23+AF24*AT24+AF25*AT25+AF26*AT26+AF27*AT27+AF28*AT28+AF29*AT29)/100)/AF30*100</f>
        <v>0.78946499999999997</v>
      </c>
      <c r="AG40" s="15">
        <f>((AG8*AT8+AG9*AT9+AG10*AT10+AG11*AT11+AG12*AT12+AG13*AT13+AG14*AT14+AG15*AT15+AG16*AT16+AG17*AT17+AG18*AT18+AG19*AT19+AG20*AT20+AG21*AT21+AG22*AT22+AG23*AT23+AG24*AT24+AG25*AT25+AG26*AT26+AG27*AT27+AG28*AT28+AG29*AT29)/100)/AG30*100</f>
        <v>0.78033500000000011</v>
      </c>
      <c r="AH40" s="15">
        <f>((AH8*AT8+AH9*AT9+AH10*AT10+AH11*AT11+AH12*AT12+AH13*AT13+AH14*AT14+AH15*AT15+AH16*AT16+AH17*AT17+AH18*AT18+AH19*AT19+AH20*AT20+AH21*AT21+AH22*AT22+AH23*AT23+AH24*AT24+AH25*AT25+AH26*AT26+AH27*AT27+AH28*AT28+AH29*AT29)/100)/AH30*100</f>
        <v>0.73624500000000004</v>
      </c>
      <c r="AI40" s="15">
        <f>((AI8*AT8+AI9*AT9+AI10*AT10+AI11*AT11+AI12*AT12+AI13*AT13+AI14*AS14+AI15*AT15+AI16*AT16+AI17*AT17+AI18*AT18+AI19*AS19+AI20*AS20+AI21*AT21+AI22*AS22+AI23*AT23+AI24*AT24+AI25*AT25+AI26*AT26+AI27*AT27+AI28*AT28+AI29*AT29)/100)/AI30*100</f>
        <v>0.57058000000000009</v>
      </c>
      <c r="AJ40" s="15">
        <f>((AJ8*AT8+AJ9*AT9+AJ10*AT10+AJ11*AT11+AJ12*AT12+AJ13*AT13+AJ14*AT14+AJ15*AT15+AJ16*AT16+AJ17*AT17+AJ18*AT18+AJ19+AT19+AJ20*AT20+AJ21*AT21+AJ22*AT22+AJ23*AT23+AJ24*AT24+AJ25*AT25+AJ26*AT26+AJ27*AT27+AJ28*AT28+AJ29*AT29)/100)/AJ30*100</f>
        <v>0.70545000000000002</v>
      </c>
      <c r="AK40" s="17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17"/>
      <c r="AX40" s="17"/>
      <c r="AY40" s="17"/>
      <c r="AZ40" s="17"/>
      <c r="BA40" s="4"/>
      <c r="BB40" s="4"/>
      <c r="BC40" s="4"/>
      <c r="BD40" s="4"/>
      <c r="BE40" s="2"/>
    </row>
    <row r="41" spans="1:58">
      <c r="A41" s="78"/>
      <c r="B41" s="134"/>
      <c r="C41" s="31"/>
      <c r="D41" s="31"/>
      <c r="E41" s="31"/>
      <c r="F41" s="31"/>
      <c r="G41" s="32"/>
      <c r="H41" s="17"/>
      <c r="I41" s="36">
        <v>1.4</v>
      </c>
      <c r="J41" s="37" t="s">
        <v>18</v>
      </c>
      <c r="K41" s="37"/>
      <c r="L41" s="17"/>
      <c r="M41" s="17"/>
      <c r="N41" s="17"/>
      <c r="O41" s="17"/>
      <c r="P41" s="17"/>
      <c r="Q41" s="24"/>
      <c r="R41" s="17"/>
      <c r="S41" s="36">
        <v>2.5</v>
      </c>
      <c r="T41" s="37" t="s">
        <v>87</v>
      </c>
      <c r="U41" s="17"/>
      <c r="V41" s="17"/>
      <c r="W41" s="17"/>
      <c r="X41" s="17"/>
      <c r="Y41" s="17"/>
      <c r="Z41" s="17"/>
      <c r="AA41" s="24"/>
      <c r="AB41" s="17"/>
      <c r="AC41" s="25" t="s">
        <v>177</v>
      </c>
      <c r="AD41" s="121"/>
      <c r="AE41" s="15">
        <f>((AE8*AU8+AE9*AU9+AE10*AU10+AE11*AU11+AE12*AU13+AE13*AU13+AE14*AU14+AE15*AU15+AE16*AU16+AE17*AU17+AE18*AU18+AE19*AU19+AE20*AU20+AE21*AU21+AE23*AU23+AE24*AU24+AE25*AU25+AE26*AU26+AE27*AU27+AE28*AU28+AE29*AU29)/100)/AE30*100</f>
        <v>9.8466250000000013</v>
      </c>
      <c r="AF41" s="15">
        <f>((AF8*AU8+AF9*AU9+AF10*AU10+AF11*AU11+AF12*AU12+AF13*AU13+AF14*AU14+AF15*AU15+AF16*AU16+AF17*AU17+AF18*AU18+AF19*AU19+AF20*AU20+AF21*AU21+AF22*AU22+AF23*AU23+AF24*AU24+AF25*AU25+AF26*AU26+AF27*AU27+AF28*AU28+AF29*AU29)/100)/AF30*100</f>
        <v>4.4821249999999999</v>
      </c>
      <c r="AG41" s="15">
        <f>((AG8*AU8+AG9*AU9+AG10*AU10+AG11*AU11+AG12*AU12+AG13*AU13+AG14*AU14+AG15*AU15+AG16*AU16+AG17*AU17+AG18*AU18+AG19*AU19+AG20*AU20+AG21*AU21+AG22*AU22+AG23*AU23+AG24*AU24+AG25*AU25+AG26*AU26+AG27*AU27+AG28*AU28+AG29*AU29)/100)/AG30*100</f>
        <v>5.8366250000000015</v>
      </c>
      <c r="AH41" s="15">
        <f>((AH8*AU8+AH9*AU9+AH10*AU10+AH11*AU11+AH12*AU12+AH13*AU13+AH14*AU14+AH15*AU15+AH16*AU16+AH17*AU17+AH18*AU18+AH19*AU19+AH20*AU20+AH21*AU21+AH22*AU22+AH23*AU23+AH24*AU24+AH25*AU25+AH26*AU26+AH27*AU27+AH28*AU28+AH29*AU29)/100)/AH30*100</f>
        <v>4.672625</v>
      </c>
      <c r="AI41" s="15">
        <f>((AI8*AU8+AI9*AU9+AI10*AU10+AI11*AU11+AI12*AU12+AI13*AU13+AI14*AU14+AI15*AU15+AI16*AU16+AI17*AU17+AI18*AU18+AI19*AU19+AI20*AU20+AI21*AU21+AI22*AU22+AI23*AU23+AI24*AU24+AI25*AU25+AI26*AU26+AI27*AU27+AI28*AU28+AI29*AU29)/100)/AI30*100</f>
        <v>2.1509499999999999</v>
      </c>
      <c r="AJ41" s="15">
        <f>((AJ8*AU8+AJ9*AU9+AJ10*AU10+AJ11*AU11+AJ13*AU13+AJ15*AU15+AJ16*AU16+AJ21*AU21+AJ23*AU23+AJ24*AU24+AJ25*AU25+AJ26*AU26+AJ27*AU27+AJ28*AU28+AJ29*AU29)/100)/AJ30*100</f>
        <v>4.2562499999999996</v>
      </c>
      <c r="AK41" s="17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17"/>
      <c r="AX41" s="17"/>
      <c r="AY41" s="17"/>
      <c r="AZ41" s="17"/>
      <c r="BA41" s="4"/>
      <c r="BB41" s="4"/>
      <c r="BC41" s="4"/>
      <c r="BD41" s="4"/>
      <c r="BE41" s="2"/>
    </row>
    <row r="42" spans="1:58">
      <c r="A42" s="17"/>
      <c r="B42" s="135"/>
      <c r="C42" s="17"/>
      <c r="D42" s="90" t="s">
        <v>27</v>
      </c>
      <c r="E42" s="90" t="s">
        <v>28</v>
      </c>
      <c r="F42" s="90" t="s">
        <v>203</v>
      </c>
      <c r="G42" s="91" t="s">
        <v>29</v>
      </c>
      <c r="H42" s="17"/>
      <c r="I42" s="25"/>
      <c r="J42" s="18"/>
      <c r="K42" s="136"/>
      <c r="L42" s="137" t="s">
        <v>69</v>
      </c>
      <c r="M42" s="137"/>
      <c r="N42" s="137" t="s">
        <v>71</v>
      </c>
      <c r="O42" s="137"/>
      <c r="P42" s="137"/>
      <c r="Q42" s="24"/>
      <c r="R42" s="17"/>
      <c r="S42" s="25"/>
      <c r="T42" s="17"/>
      <c r="U42" s="17"/>
      <c r="V42" s="17"/>
      <c r="W42" s="17"/>
      <c r="X42" s="17"/>
      <c r="Y42" s="17"/>
      <c r="Z42" s="17"/>
      <c r="AA42" s="24"/>
      <c r="AB42" s="17"/>
      <c r="AC42" s="25" t="s">
        <v>178</v>
      </c>
      <c r="AD42" s="121"/>
      <c r="AE42" s="15">
        <f>((AE8*AV8+AE9*AV9+AE10*AV10+AE11*AV11+AE12*AV12+AE13*AV13+AE14*AV14+AE15*AV15+AE16*AV16+AE17*AV17+AE18*AV18+AE19*AV19+AE20*AV20+AE21*AV21+AE22*AV22+AE23*AV23+AE24*AV24+AE25*AV25+AE26*AV26+AE27*AV27+AE28*AV28+AE29*AV29)/100)/AE30*100</f>
        <v>3.7405000000000008</v>
      </c>
      <c r="AF42" s="15">
        <f>((AF8*AV8+AF9*AV9+AF10*AV10+AF11*AV11+AF12*AU12+AF13*AV13+AF14*AU14+AF15*AV15+AF16*AV16+AF17*AU17+AF18*AU18+AF19*AU19+AF20*AU20+AF21*AV21+AF22*AU22+AF23*AV23+AF24*AV24+AF25*AV25+AF26*AV26+AF27*AV27+AF28*AV28+AF29*AV29)/100)/AF30*100</f>
        <v>5.6579999999999995</v>
      </c>
      <c r="AG42" s="15">
        <f>((AG8*AV8+AG9*AV9+AG10*AV10+AG11*AV11+AG12*AV12+AG13*AV13+AG14*AV14+AG15*AV15+AG16*AV16+AG17*AV17+AG18*AV18+AG19*AV19+AG20*AV20+AG21*AV21+AG22*AV22+AG23*AV23+AG24*AV24+AG25*AV25+AG26*AV26+AG27*AV27+AG28*AV28+AG29*AV29)/100)/AG30*100</f>
        <v>6.049500000000001</v>
      </c>
      <c r="AH42" s="15">
        <f>((AH8*AV8+AH9*AV9+AH10*AV10+AH11*AV11+AH12*AV12+AH13*AV13+AH14*AV14+AH15*AV15+AH16*AV16+AH17*AV17+AH18*AV18+AH19*AV19+AH20*AV20+AH21*AV21+AH22*AV22+AH23*AV23+AH24*AV24+AH25*AV25+AH26*AV26+AH27*AV27+AH28*AV28+AH29*AV29)/100)/AH30*100</f>
        <v>5.2789999999999999</v>
      </c>
      <c r="AI42" s="15">
        <f>((AI8*AV8+AI9*AV9+AI10*AV10+AI11*AV11+AI12*AV12+AI13*AV13+AI14*AV14+AI15*AV15+AI16*AV16+AI17*AV17+AI18*AV18+AI19*AV19+AI20*AV20+AI21*AV21+AI22*AV22+AI23*AV23+AI24*AV24+AI25*AV25+AI26*AV26+AI27*AV27+AI28*AV28+AI29*AV29)/100)/AI30*100</f>
        <v>5.7155000000000005</v>
      </c>
      <c r="AJ42" s="15">
        <f>((AJ8*AV8+AJ9*AV9+AJ10*AV10+AJ11*AV11+AJ13*AV13+AJ14*AV14+AJ15*AV15+AJ16*AV16+AJ17*AV17+AJ18*AV18+AJ19*AV19+AJ20*AV20+AJ21*AV21+AJ22*AV22+AJ23*AV23+AJ24*AV24+AJ25*AV25+AJ26*AV26+AJ27*AV27+AJ28*AV28+AJ29*AV29)/100)/AJ30*100</f>
        <v>6.0949999999999998</v>
      </c>
      <c r="AK42" s="17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17"/>
      <c r="AX42" s="17"/>
      <c r="AY42" s="17"/>
      <c r="AZ42" s="17"/>
      <c r="BA42" s="4"/>
      <c r="BB42" s="4"/>
      <c r="BC42" s="4"/>
      <c r="BD42" s="4"/>
      <c r="BE42" s="2"/>
    </row>
    <row r="43" spans="1:58" ht="15">
      <c r="A43" s="17"/>
      <c r="B43" s="92">
        <v>2.1</v>
      </c>
      <c r="C43" s="17" t="s">
        <v>32</v>
      </c>
      <c r="D43" s="101">
        <f>X10</f>
        <v>2021.0526315789475</v>
      </c>
      <c r="E43" s="86" t="s">
        <v>30</v>
      </c>
      <c r="F43" s="94">
        <f>D43/D53*100</f>
        <v>39.179649946108377</v>
      </c>
      <c r="G43" s="73" t="s">
        <v>216</v>
      </c>
      <c r="H43" s="17"/>
      <c r="I43" s="25"/>
      <c r="J43" s="18"/>
      <c r="K43" s="137" t="s">
        <v>68</v>
      </c>
      <c r="L43" s="137" t="s">
        <v>70</v>
      </c>
      <c r="M43" s="137" t="s">
        <v>1</v>
      </c>
      <c r="N43" s="137" t="s">
        <v>72</v>
      </c>
      <c r="O43" s="137" t="s">
        <v>260</v>
      </c>
      <c r="P43" s="137" t="s">
        <v>30</v>
      </c>
      <c r="Q43" s="138" t="s">
        <v>261</v>
      </c>
      <c r="R43" s="17"/>
      <c r="S43" s="25"/>
      <c r="T43" s="17" t="s">
        <v>131</v>
      </c>
      <c r="U43" s="17"/>
      <c r="V43" s="17"/>
      <c r="W43" s="17"/>
      <c r="X43" s="120">
        <v>15000</v>
      </c>
      <c r="Y43" s="17" t="s">
        <v>30</v>
      </c>
      <c r="Z43" s="17"/>
      <c r="AA43" s="24"/>
      <c r="AB43" s="17"/>
      <c r="AC43" s="25"/>
      <c r="AD43" s="121"/>
      <c r="AE43" s="121"/>
      <c r="AF43" s="121"/>
      <c r="AG43" s="121"/>
      <c r="AH43" s="121"/>
      <c r="AI43" s="121"/>
      <c r="AJ43" s="121"/>
      <c r="AK43" s="17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17"/>
      <c r="AX43" s="17"/>
      <c r="AY43" s="17"/>
      <c r="AZ43" s="17"/>
      <c r="BA43" s="4"/>
      <c r="BB43" s="4"/>
      <c r="BC43" s="4"/>
      <c r="BD43" s="4"/>
      <c r="BE43" s="2"/>
    </row>
    <row r="44" spans="1:58">
      <c r="A44" s="17"/>
      <c r="B44" s="92">
        <v>2.2000000000000002</v>
      </c>
      <c r="C44" s="17" t="s">
        <v>33</v>
      </c>
      <c r="D44" s="139">
        <f>X24</f>
        <v>2667.1780410256411</v>
      </c>
      <c r="E44" s="86" t="s">
        <v>30</v>
      </c>
      <c r="F44" s="94">
        <f>D44/D53*100</f>
        <v>51.705284839460994</v>
      </c>
      <c r="G44" s="108" t="s">
        <v>216</v>
      </c>
      <c r="H44" s="17"/>
      <c r="I44" s="25"/>
      <c r="J44" s="18" t="s">
        <v>66</v>
      </c>
      <c r="K44" s="59" t="s">
        <v>74</v>
      </c>
      <c r="L44" s="59"/>
      <c r="M44" s="59"/>
      <c r="N44" s="140">
        <v>2</v>
      </c>
      <c r="O44" s="140">
        <v>25</v>
      </c>
      <c r="P44" s="59">
        <f>N44*O44</f>
        <v>50</v>
      </c>
      <c r="Q44" s="24"/>
      <c r="R44" s="17"/>
      <c r="S44" s="25"/>
      <c r="T44" s="133" t="s">
        <v>132</v>
      </c>
      <c r="U44" s="17"/>
      <c r="V44" s="86">
        <f>X35</f>
        <v>500</v>
      </c>
      <c r="W44" s="17" t="s">
        <v>44</v>
      </c>
      <c r="X44" s="17"/>
      <c r="Y44" s="17"/>
      <c r="Z44" s="17"/>
      <c r="AA44" s="24"/>
      <c r="AB44" s="17"/>
      <c r="AC44" s="25" t="s">
        <v>179</v>
      </c>
      <c r="AD44" s="121"/>
      <c r="AE44" s="15">
        <f t="shared" ref="AE44:AJ44" si="3">($AD8*AE8+$AD9*AE9+$AD10*AE10+$AD11*AE11+$AD12*AE12+$AD13*AE13+$AD14*AE14+$AD15*AE15+$AD16*AE16+$AD17*AE17+$AD18*AE18+$AD19*AE19+$AD20*AE20+$AD21*AE21+$AD22*AE22+$AD23*AE23+$AD24*AE24+$AD25*AE25+$AD26*AE26+$AD27*AE27+$AD28*AE28+$AD29*AE29)/AE30</f>
        <v>13.922500000000005</v>
      </c>
      <c r="AF44" s="15">
        <f t="shared" si="3"/>
        <v>11.1775</v>
      </c>
      <c r="AG44" s="15">
        <f t="shared" si="3"/>
        <v>11.019000000000002</v>
      </c>
      <c r="AH44" s="15">
        <f t="shared" si="3"/>
        <v>10.626999999999999</v>
      </c>
      <c r="AI44" s="15">
        <f t="shared" si="3"/>
        <v>10.534750000000003</v>
      </c>
      <c r="AJ44" s="15">
        <f t="shared" si="3"/>
        <v>10.873749999999999</v>
      </c>
      <c r="AK44" s="17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17"/>
      <c r="AX44" s="17"/>
      <c r="AY44" s="17"/>
      <c r="AZ44" s="17"/>
      <c r="BA44" s="4"/>
      <c r="BB44" s="4"/>
      <c r="BC44" s="4"/>
      <c r="BD44" s="4"/>
      <c r="BE44" s="2"/>
    </row>
    <row r="45" spans="1:58" ht="15">
      <c r="A45" s="17"/>
      <c r="B45" s="92">
        <v>2.2999999999999998</v>
      </c>
      <c r="C45" s="17" t="s">
        <v>19</v>
      </c>
      <c r="D45" s="93">
        <f>X31</f>
        <v>140</v>
      </c>
      <c r="E45" s="86" t="s">
        <v>30</v>
      </c>
      <c r="F45" s="56">
        <f>D45/D53*100</f>
        <v>2.7140070014752156</v>
      </c>
      <c r="G45" s="73" t="s">
        <v>216</v>
      </c>
      <c r="H45" s="17"/>
      <c r="I45" s="25"/>
      <c r="J45" s="18" t="s">
        <v>67</v>
      </c>
      <c r="K45" s="59" t="s">
        <v>75</v>
      </c>
      <c r="L45" s="140">
        <v>13</v>
      </c>
      <c r="M45" s="140">
        <v>1.5</v>
      </c>
      <c r="N45" s="59">
        <f>L45*M45</f>
        <v>19.5</v>
      </c>
      <c r="O45" s="141">
        <f>AE49</f>
        <v>16.896225000000005</v>
      </c>
      <c r="P45" s="76">
        <f>N45*O45</f>
        <v>329.4763875000001</v>
      </c>
      <c r="Q45" s="116" t="s">
        <v>216</v>
      </c>
      <c r="R45" s="17"/>
      <c r="S45" s="25"/>
      <c r="T45" s="17"/>
      <c r="U45" s="17"/>
      <c r="V45" s="17"/>
      <c r="W45" s="17"/>
      <c r="X45" s="17"/>
      <c r="Y45" s="17"/>
      <c r="Z45" s="17"/>
      <c r="AA45" s="24"/>
      <c r="AB45" s="17"/>
      <c r="AC45" s="142" t="s">
        <v>303</v>
      </c>
      <c r="AD45" s="215" t="s">
        <v>216</v>
      </c>
      <c r="AE45" s="216">
        <f t="shared" ref="AE45:AJ45" si="4">AE71</f>
        <v>2.3344999999999998</v>
      </c>
      <c r="AF45" s="216">
        <f t="shared" si="4"/>
        <v>0.14249999999999999</v>
      </c>
      <c r="AG45" s="216">
        <f t="shared" si="4"/>
        <v>0.14249999999999999</v>
      </c>
      <c r="AH45" s="216">
        <f t="shared" si="4"/>
        <v>2.2499999999999999E-2</v>
      </c>
      <c r="AI45" s="216">
        <f t="shared" si="4"/>
        <v>2.2499999999999999E-2</v>
      </c>
      <c r="AJ45" s="216">
        <f t="shared" si="4"/>
        <v>1.0145</v>
      </c>
      <c r="AK45" s="17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7"/>
      <c r="AX45" s="17"/>
      <c r="AY45" s="17"/>
      <c r="AZ45" s="17"/>
      <c r="BA45" s="4"/>
      <c r="BB45" s="4"/>
      <c r="BC45" s="4"/>
      <c r="BD45" s="4"/>
      <c r="BE45" s="2"/>
    </row>
    <row r="46" spans="1:58" ht="15">
      <c r="A46" s="17"/>
      <c r="B46" s="92">
        <v>2.4</v>
      </c>
      <c r="C46" s="17" t="s">
        <v>20</v>
      </c>
      <c r="D46" s="93">
        <f>X39</f>
        <v>63.93333333333333</v>
      </c>
      <c r="E46" s="86" t="s">
        <v>30</v>
      </c>
      <c r="F46" s="56">
        <f>D46/D53*100</f>
        <v>1.2393965306736816</v>
      </c>
      <c r="G46" s="108" t="s">
        <v>216</v>
      </c>
      <c r="H46" s="17"/>
      <c r="I46" s="25"/>
      <c r="J46" s="17"/>
      <c r="K46" s="17"/>
      <c r="L46" s="86"/>
      <c r="M46" s="86"/>
      <c r="N46" s="86"/>
      <c r="O46" s="143" t="s">
        <v>59</v>
      </c>
      <c r="P46" s="144">
        <f>P44+P45</f>
        <v>379.4763875000001</v>
      </c>
      <c r="Q46" s="24"/>
      <c r="R46" s="17"/>
      <c r="S46" s="25"/>
      <c r="T46" s="133" t="s">
        <v>133</v>
      </c>
      <c r="U46" s="17"/>
      <c r="V46" s="17"/>
      <c r="W46" s="17"/>
      <c r="X46" s="145">
        <f>X43/V44</f>
        <v>30</v>
      </c>
      <c r="Y46" s="17" t="s">
        <v>63</v>
      </c>
      <c r="Z46" s="35" t="s">
        <v>215</v>
      </c>
      <c r="AA46" s="24"/>
      <c r="AB46" s="17"/>
      <c r="AC46" s="25" t="s">
        <v>219</v>
      </c>
      <c r="AD46" s="64">
        <v>1</v>
      </c>
      <c r="AE46" s="15">
        <f>AE44*AD46/100</f>
        <v>0.13922500000000004</v>
      </c>
      <c r="AF46" s="15">
        <f>AF44*AD46/100</f>
        <v>0.111775</v>
      </c>
      <c r="AG46" s="15">
        <f>AG44*AD46/100</f>
        <v>0.11019000000000002</v>
      </c>
      <c r="AH46" s="15">
        <f>AH44*AD46/100</f>
        <v>0.10626999999999999</v>
      </c>
      <c r="AI46" s="15">
        <f>AI44*AD46/100</f>
        <v>0.10534750000000002</v>
      </c>
      <c r="AJ46" s="15">
        <f>AJ44*AD46/100</f>
        <v>0.10873749999999999</v>
      </c>
      <c r="AK46" s="17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7"/>
      <c r="AX46" s="17"/>
      <c r="AY46" s="17"/>
      <c r="AZ46" s="17"/>
      <c r="BA46" s="4"/>
      <c r="BB46" s="4"/>
      <c r="BC46" s="4"/>
      <c r="BD46" s="4"/>
      <c r="BE46" s="2"/>
    </row>
    <row r="47" spans="1:58" ht="15">
      <c r="A47" s="17"/>
      <c r="B47" s="92">
        <v>2.5</v>
      </c>
      <c r="C47" s="17" t="s">
        <v>21</v>
      </c>
      <c r="D47" s="93">
        <f>X46</f>
        <v>30</v>
      </c>
      <c r="E47" s="86" t="s">
        <v>30</v>
      </c>
      <c r="F47" s="56">
        <f>D47/D53*100</f>
        <v>0.58157292888754619</v>
      </c>
      <c r="G47" s="73" t="s">
        <v>216</v>
      </c>
      <c r="H47" s="17"/>
      <c r="I47" s="25"/>
      <c r="J47" s="17"/>
      <c r="K47" s="17"/>
      <c r="L47" s="17"/>
      <c r="M47" s="17"/>
      <c r="N47" s="17"/>
      <c r="O47" s="17"/>
      <c r="P47" s="17"/>
      <c r="Q47" s="24"/>
      <c r="R47" s="17"/>
      <c r="S47" s="30"/>
      <c r="T47" s="31"/>
      <c r="U47" s="31"/>
      <c r="V47" s="31"/>
      <c r="W47" s="31"/>
      <c r="X47" s="31"/>
      <c r="Y47" s="31"/>
      <c r="Z47" s="31"/>
      <c r="AA47" s="32"/>
      <c r="AB47" s="17"/>
      <c r="AC47" s="25" t="s">
        <v>322</v>
      </c>
      <c r="AD47" s="121"/>
      <c r="AE47" s="221">
        <v>0.5</v>
      </c>
      <c r="AF47" s="221">
        <v>0.5</v>
      </c>
      <c r="AG47" s="221">
        <v>0.5</v>
      </c>
      <c r="AH47" s="221">
        <v>0.5</v>
      </c>
      <c r="AI47" s="221">
        <v>0.5</v>
      </c>
      <c r="AJ47" s="221">
        <v>0.5</v>
      </c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4"/>
      <c r="BB47" s="4"/>
      <c r="BC47" s="4"/>
      <c r="BD47" s="4"/>
      <c r="BE47" s="4"/>
      <c r="BF47" s="2"/>
    </row>
    <row r="48" spans="1:58" ht="15">
      <c r="A48" s="17"/>
      <c r="B48" s="92">
        <v>2.6</v>
      </c>
      <c r="C48" s="17" t="s">
        <v>34</v>
      </c>
      <c r="D48" s="93">
        <f>Y57</f>
        <v>75.068493150684915</v>
      </c>
      <c r="E48" s="86" t="s">
        <v>30</v>
      </c>
      <c r="F48" s="56">
        <f>D48/D53*100</f>
        <v>1.455260114293951</v>
      </c>
      <c r="G48" s="73" t="s">
        <v>216</v>
      </c>
      <c r="H48" s="17"/>
      <c r="I48" s="25"/>
      <c r="J48" s="83" t="s">
        <v>73</v>
      </c>
      <c r="K48" s="83"/>
      <c r="L48" s="69">
        <f>P46</f>
        <v>379.4763875000001</v>
      </c>
      <c r="M48" s="83" t="s">
        <v>30</v>
      </c>
      <c r="N48" s="17"/>
      <c r="O48" s="17"/>
      <c r="P48" s="35" t="s">
        <v>215</v>
      </c>
      <c r="Q48" s="24"/>
      <c r="R48" s="17"/>
      <c r="S48" s="36">
        <v>2.6</v>
      </c>
      <c r="T48" s="37" t="s">
        <v>263</v>
      </c>
      <c r="U48" s="17"/>
      <c r="V48" s="17"/>
      <c r="W48" s="17"/>
      <c r="X48" s="17"/>
      <c r="Y48" s="17"/>
      <c r="Z48" s="17"/>
      <c r="AA48" s="24"/>
      <c r="AB48" s="17"/>
      <c r="AC48" s="25" t="s">
        <v>120</v>
      </c>
      <c r="AD48" s="121"/>
      <c r="AE48" s="15"/>
      <c r="AF48" s="15"/>
      <c r="AG48" s="15"/>
      <c r="AH48" s="15"/>
      <c r="AI48" s="15"/>
      <c r="AJ48" s="15"/>
      <c r="AK48" s="17"/>
      <c r="AL48" s="19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1"/>
      <c r="AZ48" s="17"/>
      <c r="BA48" s="4"/>
      <c r="BB48" s="4"/>
      <c r="BC48" s="4"/>
      <c r="BD48" s="4"/>
      <c r="BE48" s="4"/>
      <c r="BF48" s="2"/>
    </row>
    <row r="49" spans="1:58" ht="15">
      <c r="A49" s="17"/>
      <c r="B49" s="92">
        <v>2.7</v>
      </c>
      <c r="C49" s="17" t="s">
        <v>22</v>
      </c>
      <c r="D49" s="93">
        <f>Y67</f>
        <v>3.753424657534246</v>
      </c>
      <c r="E49" s="86" t="s">
        <v>30</v>
      </c>
      <c r="F49" s="56">
        <f>D49/D53*100</f>
        <v>7.2763005714697543E-2</v>
      </c>
      <c r="G49" s="73" t="s">
        <v>216</v>
      </c>
      <c r="H49" s="17"/>
      <c r="I49" s="30"/>
      <c r="J49" s="31"/>
      <c r="K49" s="31"/>
      <c r="L49" s="31"/>
      <c r="M49" s="31"/>
      <c r="N49" s="31"/>
      <c r="O49" s="31"/>
      <c r="P49" s="31"/>
      <c r="Q49" s="32"/>
      <c r="R49" s="17"/>
      <c r="S49" s="25"/>
      <c r="T49" s="17"/>
      <c r="U49" s="17"/>
      <c r="V49" s="17"/>
      <c r="W49" s="17"/>
      <c r="X49" s="17"/>
      <c r="Y49" s="17"/>
      <c r="Z49" s="17"/>
      <c r="AA49" s="24"/>
      <c r="AB49" s="17"/>
      <c r="AC49" s="146" t="s">
        <v>323</v>
      </c>
      <c r="AD49" s="217"/>
      <c r="AE49" s="218">
        <f t="shared" ref="AE49:AJ49" si="5">AE44+AE47+AE46+AE45</f>
        <v>16.896225000000005</v>
      </c>
      <c r="AF49" s="218">
        <f t="shared" si="5"/>
        <v>11.931775</v>
      </c>
      <c r="AG49" s="218">
        <f t="shared" si="5"/>
        <v>11.771690000000001</v>
      </c>
      <c r="AH49" s="218">
        <f t="shared" si="5"/>
        <v>11.25577</v>
      </c>
      <c r="AI49" s="218">
        <f t="shared" si="5"/>
        <v>11.162597500000004</v>
      </c>
      <c r="AJ49" s="218">
        <f t="shared" si="5"/>
        <v>12.496987499999999</v>
      </c>
      <c r="AK49" s="34"/>
      <c r="AL49" s="27"/>
      <c r="AM49" s="26"/>
      <c r="AN49" s="18"/>
      <c r="AO49" s="18"/>
      <c r="AP49" s="26" t="s">
        <v>285</v>
      </c>
      <c r="AQ49" s="26"/>
      <c r="AR49" s="18"/>
      <c r="AS49" s="18"/>
      <c r="AT49" s="18"/>
      <c r="AU49" s="18"/>
      <c r="AV49" s="18"/>
      <c r="AW49" s="18"/>
      <c r="AX49" s="17"/>
      <c r="AY49" s="24"/>
      <c r="AZ49" s="17"/>
      <c r="BA49" s="4"/>
      <c r="BB49" s="4"/>
      <c r="BC49" s="4"/>
      <c r="BD49" s="4"/>
      <c r="BE49" s="4"/>
      <c r="BF49" s="2"/>
    </row>
    <row r="50" spans="1:58" ht="15">
      <c r="A50" s="17"/>
      <c r="B50" s="92">
        <v>2.8</v>
      </c>
      <c r="C50" s="17" t="s">
        <v>269</v>
      </c>
      <c r="D50" s="93">
        <f>Y71</f>
        <v>100</v>
      </c>
      <c r="E50" s="86" t="s">
        <v>30</v>
      </c>
      <c r="F50" s="56">
        <f>D50/D53*100</f>
        <v>1.938576429625154</v>
      </c>
      <c r="G50" s="73" t="s">
        <v>216</v>
      </c>
      <c r="H50" s="17"/>
      <c r="I50" s="36">
        <v>1.5</v>
      </c>
      <c r="J50" s="37" t="s">
        <v>19</v>
      </c>
      <c r="K50" s="37"/>
      <c r="L50" s="37"/>
      <c r="M50" s="17"/>
      <c r="N50" s="17"/>
      <c r="O50" s="17"/>
      <c r="P50" s="17"/>
      <c r="Q50" s="24"/>
      <c r="R50" s="17"/>
      <c r="S50" s="25"/>
      <c r="T50" s="17" t="s">
        <v>134</v>
      </c>
      <c r="U50" s="17"/>
      <c r="V50" s="17"/>
      <c r="W50" s="87">
        <f>X35</f>
        <v>500</v>
      </c>
      <c r="X50" s="17" t="s">
        <v>44</v>
      </c>
      <c r="Y50" s="126">
        <v>1000000</v>
      </c>
      <c r="Z50" s="17" t="s">
        <v>30</v>
      </c>
      <c r="AA50" s="24"/>
      <c r="AB50" s="17"/>
      <c r="AC50" s="219" t="s">
        <v>120</v>
      </c>
      <c r="AD50" s="121"/>
      <c r="AE50" s="121"/>
      <c r="AF50" s="121"/>
      <c r="AG50" s="121"/>
      <c r="AH50" s="121"/>
      <c r="AI50" s="121"/>
      <c r="AJ50" s="121"/>
      <c r="AK50" s="17"/>
      <c r="AL50" s="30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7"/>
      <c r="AY50" s="148"/>
      <c r="AZ50" s="17"/>
      <c r="BA50" s="4"/>
      <c r="BB50" s="4"/>
      <c r="BC50" s="4"/>
      <c r="BD50" s="4"/>
      <c r="BE50" s="4"/>
      <c r="BF50" s="2"/>
    </row>
    <row r="51" spans="1:58" ht="15">
      <c r="A51" s="17"/>
      <c r="B51" s="92">
        <v>2.9</v>
      </c>
      <c r="C51" s="17" t="s">
        <v>23</v>
      </c>
      <c r="D51" s="93">
        <f>Y79</f>
        <v>57.438499031771613</v>
      </c>
      <c r="E51" s="86" t="s">
        <v>30</v>
      </c>
      <c r="F51" s="149">
        <f>D51/D53*100</f>
        <v>1.1134892037603967</v>
      </c>
      <c r="G51" s="73" t="s">
        <v>216</v>
      </c>
      <c r="H51" s="17"/>
      <c r="I51" s="25"/>
      <c r="J51" s="17"/>
      <c r="K51" s="17"/>
      <c r="L51" s="17"/>
      <c r="M51" s="17"/>
      <c r="N51" s="17"/>
      <c r="O51" s="17"/>
      <c r="P51" s="17"/>
      <c r="Q51" s="24"/>
      <c r="R51" s="17"/>
      <c r="S51" s="25"/>
      <c r="T51" s="17" t="s">
        <v>135</v>
      </c>
      <c r="U51" s="17"/>
      <c r="V51" s="17"/>
      <c r="W51" s="17"/>
      <c r="X51" s="17"/>
      <c r="Y51" s="87">
        <v>10</v>
      </c>
      <c r="Z51" s="17" t="s">
        <v>202</v>
      </c>
      <c r="AA51" s="24"/>
      <c r="AB51" s="18"/>
      <c r="AC51" s="150" t="s">
        <v>221</v>
      </c>
      <c r="AD51" s="18"/>
      <c r="AE51" s="151" t="s">
        <v>288</v>
      </c>
      <c r="AF51" s="34" t="s">
        <v>289</v>
      </c>
      <c r="AG51" s="151" t="s">
        <v>290</v>
      </c>
      <c r="AH51" s="34" t="s">
        <v>152</v>
      </c>
      <c r="AI51" s="225"/>
      <c r="AJ51" s="35" t="s">
        <v>291</v>
      </c>
      <c r="AK51" s="17"/>
      <c r="AL51" s="77"/>
      <c r="AM51" s="41" t="s">
        <v>188</v>
      </c>
      <c r="AN51" s="232" t="s">
        <v>297</v>
      </c>
      <c r="AO51" s="233"/>
      <c r="AP51" s="233"/>
      <c r="AQ51" s="233"/>
      <c r="AR51" s="233"/>
      <c r="AS51" s="233"/>
      <c r="AT51" s="233"/>
      <c r="AU51" s="233"/>
      <c r="AV51" s="233"/>
      <c r="AW51" s="233"/>
      <c r="AX51" s="233"/>
      <c r="AY51" s="234"/>
      <c r="AZ51" s="17"/>
      <c r="BA51" s="4"/>
      <c r="BB51" s="4"/>
      <c r="BC51" s="4"/>
      <c r="BD51" s="4"/>
      <c r="BE51" s="4"/>
      <c r="BF51" s="2"/>
    </row>
    <row r="52" spans="1:58" ht="15.75">
      <c r="A52" s="17"/>
      <c r="B52" s="103"/>
      <c r="C52" s="17"/>
      <c r="D52" s="17"/>
      <c r="E52" s="17"/>
      <c r="F52" s="94">
        <f>SUM(F43:F51)</f>
        <v>100.00000000000001</v>
      </c>
      <c r="G52" s="24"/>
      <c r="H52" s="17"/>
      <c r="I52" s="25"/>
      <c r="J52" s="17" t="s">
        <v>204</v>
      </c>
      <c r="K52" s="17"/>
      <c r="L52" s="17"/>
      <c r="M52" s="105">
        <f>M136</f>
        <v>50</v>
      </c>
      <c r="N52" s="17" t="s">
        <v>30</v>
      </c>
      <c r="O52" s="34" t="s">
        <v>216</v>
      </c>
      <c r="P52" s="17"/>
      <c r="Q52" s="24"/>
      <c r="R52" s="17"/>
      <c r="S52" s="25"/>
      <c r="T52" s="17" t="s">
        <v>136</v>
      </c>
      <c r="U52" s="17"/>
      <c r="V52" s="17"/>
      <c r="W52" s="17"/>
      <c r="X52" s="17"/>
      <c r="Y52" s="152">
        <f>Y50/Y51</f>
        <v>100000</v>
      </c>
      <c r="Z52" s="17" t="s">
        <v>30</v>
      </c>
      <c r="AA52" s="24"/>
      <c r="AB52" s="17"/>
      <c r="AC52" s="18"/>
      <c r="AD52" s="18"/>
      <c r="AE52" s="18"/>
      <c r="AF52" s="18"/>
      <c r="AG52" s="18"/>
      <c r="AH52" s="18"/>
      <c r="AI52" s="18"/>
      <c r="AJ52" s="18"/>
      <c r="AK52" s="17"/>
      <c r="AL52" s="80"/>
      <c r="AM52" s="153" t="s">
        <v>120</v>
      </c>
      <c r="AN52" s="159">
        <v>1</v>
      </c>
      <c r="AO52" s="222">
        <v>2</v>
      </c>
      <c r="AP52" s="49">
        <v>3</v>
      </c>
      <c r="AQ52" s="226">
        <v>4</v>
      </c>
      <c r="AR52" s="227">
        <v>5</v>
      </c>
      <c r="AS52" s="228">
        <v>6</v>
      </c>
      <c r="AT52" s="227">
        <v>7</v>
      </c>
      <c r="AU52" s="227">
        <v>8</v>
      </c>
      <c r="AV52" s="228">
        <v>9</v>
      </c>
      <c r="AW52" s="226">
        <v>10</v>
      </c>
      <c r="AX52" s="227">
        <v>11</v>
      </c>
      <c r="AY52" s="228">
        <v>12</v>
      </c>
      <c r="AZ52" s="154" t="s">
        <v>300</v>
      </c>
      <c r="BA52" s="4"/>
      <c r="BB52" s="4"/>
      <c r="BC52" s="4"/>
      <c r="BD52" s="4"/>
      <c r="BE52" s="4"/>
      <c r="BF52" s="2"/>
    </row>
    <row r="53" spans="1:58" ht="15.75">
      <c r="A53" s="17"/>
      <c r="B53" s="103"/>
      <c r="C53" s="17" t="s">
        <v>35</v>
      </c>
      <c r="D53" s="56">
        <f>SUM(D43:D51)</f>
        <v>5158.4244227779118</v>
      </c>
      <c r="E53" s="86" t="s">
        <v>30</v>
      </c>
      <c r="F53" s="17"/>
      <c r="G53" s="24"/>
      <c r="H53" s="17"/>
      <c r="I53" s="25"/>
      <c r="J53" s="17" t="s">
        <v>205</v>
      </c>
      <c r="K53" s="17"/>
      <c r="L53" s="17"/>
      <c r="M53" s="105">
        <f>M143</f>
        <v>45</v>
      </c>
      <c r="N53" s="17" t="s">
        <v>30</v>
      </c>
      <c r="O53" s="34" t="s">
        <v>216</v>
      </c>
      <c r="P53" s="17"/>
      <c r="Q53" s="24"/>
      <c r="R53" s="17"/>
      <c r="S53" s="25"/>
      <c r="T53" s="17" t="s">
        <v>137</v>
      </c>
      <c r="U53" s="17"/>
      <c r="V53" s="17"/>
      <c r="W53" s="17"/>
      <c r="X53" s="17"/>
      <c r="Y53" s="87">
        <v>137</v>
      </c>
      <c r="Z53" s="17" t="s">
        <v>60</v>
      </c>
      <c r="AA53" s="24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85" t="str">
        <f>AC8</f>
        <v>ปลายข้าว</v>
      </c>
      <c r="AM53" s="155">
        <f>AD8</f>
        <v>12</v>
      </c>
      <c r="AN53" s="223">
        <v>45.15</v>
      </c>
      <c r="AO53" s="223">
        <v>20.65</v>
      </c>
      <c r="AP53" s="223">
        <v>29.6</v>
      </c>
      <c r="AQ53" s="223"/>
      <c r="AR53" s="223">
        <v>30.05</v>
      </c>
      <c r="AS53" s="223">
        <v>28.05</v>
      </c>
      <c r="AT53" s="64">
        <v>1</v>
      </c>
      <c r="AU53" s="64">
        <v>1</v>
      </c>
      <c r="AV53" s="64">
        <v>1</v>
      </c>
      <c r="AW53" s="64">
        <v>1</v>
      </c>
      <c r="AX53" s="64">
        <v>1</v>
      </c>
      <c r="AY53" s="64">
        <v>1</v>
      </c>
      <c r="AZ53" s="133"/>
      <c r="BA53" s="4"/>
      <c r="BB53" s="4"/>
      <c r="BC53" s="4"/>
      <c r="BD53" s="4"/>
      <c r="BE53" s="4"/>
      <c r="BF53" s="2"/>
    </row>
    <row r="54" spans="1:58" ht="15">
      <c r="A54" s="17"/>
      <c r="B54" s="103"/>
      <c r="C54" s="17"/>
      <c r="D54" s="17"/>
      <c r="E54" s="17"/>
      <c r="F54" s="17"/>
      <c r="G54" s="24"/>
      <c r="H54" s="17"/>
      <c r="I54" s="25"/>
      <c r="J54" s="17" t="s">
        <v>76</v>
      </c>
      <c r="K54" s="17"/>
      <c r="L54" s="17"/>
      <c r="M54" s="86">
        <f>M12</f>
        <v>18.04</v>
      </c>
      <c r="N54" s="17" t="s">
        <v>77</v>
      </c>
      <c r="O54" s="17"/>
      <c r="P54" s="17"/>
      <c r="Q54" s="24"/>
      <c r="R54" s="17"/>
      <c r="S54" s="25"/>
      <c r="T54" s="17" t="s">
        <v>138</v>
      </c>
      <c r="U54" s="17"/>
      <c r="V54" s="17"/>
      <c r="W54" s="17"/>
      <c r="X54" s="17"/>
      <c r="Y54" s="13">
        <f>365/Y53</f>
        <v>2.664233576642336</v>
      </c>
      <c r="Z54" s="17" t="s">
        <v>140</v>
      </c>
      <c r="AA54" s="24"/>
      <c r="AB54" s="17"/>
      <c r="AC54" s="19"/>
      <c r="AD54" s="20"/>
      <c r="AE54" s="20"/>
      <c r="AF54" s="20"/>
      <c r="AG54" s="20"/>
      <c r="AH54" s="20"/>
      <c r="AI54" s="20"/>
      <c r="AJ54" s="21"/>
      <c r="AK54" s="17"/>
      <c r="AL54" s="85" t="str">
        <f t="shared" ref="AL54:AL66" si="6">AC9</f>
        <v>ข้าวโพด</v>
      </c>
      <c r="AM54" s="155">
        <f t="shared" ref="AM54:AM66" si="7">AD9</f>
        <v>8.8000000000000007</v>
      </c>
      <c r="AN54" s="223"/>
      <c r="AO54" s="223"/>
      <c r="AP54" s="223"/>
      <c r="AQ54" s="223"/>
      <c r="AR54" s="223"/>
      <c r="AS54" s="223"/>
      <c r="AT54" s="64"/>
      <c r="AU54" s="64"/>
      <c r="AV54" s="64"/>
      <c r="AW54" s="64"/>
      <c r="AX54" s="64"/>
      <c r="AY54" s="64"/>
      <c r="AZ54" s="154" t="s">
        <v>299</v>
      </c>
      <c r="BA54" s="4"/>
      <c r="BB54" s="4"/>
      <c r="BC54" s="4"/>
      <c r="BD54" s="4"/>
      <c r="BE54" s="4"/>
      <c r="BF54" s="2"/>
    </row>
    <row r="55" spans="1:58">
      <c r="A55" s="17"/>
      <c r="B55" s="103"/>
      <c r="C55" s="17" t="s">
        <v>36</v>
      </c>
      <c r="D55" s="87">
        <v>55</v>
      </c>
      <c r="E55" s="86" t="s">
        <v>3</v>
      </c>
      <c r="F55" s="17"/>
      <c r="G55" s="24"/>
      <c r="H55" s="17"/>
      <c r="I55" s="25"/>
      <c r="J55" s="17" t="s">
        <v>78</v>
      </c>
      <c r="K55" s="17"/>
      <c r="L55" s="17"/>
      <c r="M55" s="13">
        <f>(M52+M53)/M54</f>
        <v>5.266075388026608</v>
      </c>
      <c r="N55" s="17" t="s">
        <v>30</v>
      </c>
      <c r="O55" s="17"/>
      <c r="P55" s="17"/>
      <c r="Q55" s="24"/>
      <c r="R55" s="17"/>
      <c r="S55" s="25"/>
      <c r="T55" s="17" t="s">
        <v>139</v>
      </c>
      <c r="U55" s="17"/>
      <c r="V55" s="17"/>
      <c r="W55" s="17"/>
      <c r="X55" s="17"/>
      <c r="Y55" s="156">
        <f>Y54*W50</f>
        <v>1332.1167883211681</v>
      </c>
      <c r="Z55" s="17" t="s">
        <v>44</v>
      </c>
      <c r="AA55" s="24"/>
      <c r="AB55" s="17"/>
      <c r="AC55" s="79" t="s">
        <v>231</v>
      </c>
      <c r="AD55" s="17"/>
      <c r="AE55" s="17"/>
      <c r="AF55" s="17"/>
      <c r="AG55" s="17"/>
      <c r="AH55" s="17"/>
      <c r="AI55" s="17"/>
      <c r="AJ55" s="24"/>
      <c r="AK55" s="17"/>
      <c r="AL55" s="85" t="str">
        <f t="shared" si="6"/>
        <v>มันสำปะหลัง</v>
      </c>
      <c r="AM55" s="155">
        <f t="shared" si="7"/>
        <v>7.5</v>
      </c>
      <c r="AN55" s="223"/>
      <c r="AO55" s="223">
        <v>20</v>
      </c>
      <c r="AP55" s="223">
        <v>20</v>
      </c>
      <c r="AQ55" s="223">
        <v>43.95</v>
      </c>
      <c r="AR55" s="223">
        <v>20</v>
      </c>
      <c r="AS55" s="223">
        <v>20</v>
      </c>
      <c r="AT55" s="64"/>
      <c r="AU55" s="64"/>
      <c r="AV55" s="64"/>
      <c r="AW55" s="64"/>
      <c r="AX55" s="64"/>
      <c r="AY55" s="64"/>
      <c r="AZ55" s="133"/>
      <c r="BA55" s="4"/>
      <c r="BB55" s="4"/>
      <c r="BC55" s="4"/>
      <c r="BD55" s="4"/>
      <c r="BE55" s="4"/>
      <c r="BF55" s="2"/>
    </row>
    <row r="56" spans="1:58" ht="15">
      <c r="A56" s="17"/>
      <c r="B56" s="103"/>
      <c r="C56" s="17" t="s">
        <v>37</v>
      </c>
      <c r="D56" s="123">
        <f>D55*100</f>
        <v>5500</v>
      </c>
      <c r="E56" s="86" t="s">
        <v>30</v>
      </c>
      <c r="F56" s="17"/>
      <c r="G56" s="24"/>
      <c r="H56" s="17"/>
      <c r="I56" s="25"/>
      <c r="J56" s="17"/>
      <c r="K56" s="17"/>
      <c r="L56" s="17"/>
      <c r="M56" s="17"/>
      <c r="N56" s="17"/>
      <c r="O56" s="17"/>
      <c r="P56" s="17"/>
      <c r="Q56" s="24"/>
      <c r="R56" s="17"/>
      <c r="S56" s="25"/>
      <c r="T56" s="17"/>
      <c r="U56" s="17"/>
      <c r="V56" s="17"/>
      <c r="W56" s="17"/>
      <c r="X56" s="17"/>
      <c r="Y56" s="86"/>
      <c r="Z56" s="17"/>
      <c r="AA56" s="24"/>
      <c r="AB56" s="17"/>
      <c r="AC56" s="79"/>
      <c r="AD56" s="17"/>
      <c r="AE56" s="17"/>
      <c r="AF56" s="17"/>
      <c r="AG56" s="17"/>
      <c r="AH56" s="17"/>
      <c r="AI56" s="17"/>
      <c r="AJ56" s="24"/>
      <c r="AK56" s="17"/>
      <c r="AL56" s="85" t="str">
        <f t="shared" si="6"/>
        <v>รำละเอียด</v>
      </c>
      <c r="AM56" s="155">
        <f t="shared" si="7"/>
        <v>7.8</v>
      </c>
      <c r="AN56" s="223"/>
      <c r="AO56" s="223"/>
      <c r="AP56" s="223"/>
      <c r="AQ56" s="223"/>
      <c r="AR56" s="223"/>
      <c r="AS56" s="223"/>
      <c r="AT56" s="64"/>
      <c r="AU56" s="64"/>
      <c r="AV56" s="64"/>
      <c r="AW56" s="64"/>
      <c r="AX56" s="64"/>
      <c r="AY56" s="64"/>
      <c r="AZ56" s="154" t="s">
        <v>301</v>
      </c>
      <c r="BA56" s="4"/>
      <c r="BB56" s="4"/>
      <c r="BC56" s="4"/>
      <c r="BD56" s="4"/>
      <c r="BE56" s="4"/>
      <c r="BF56" s="2"/>
    </row>
    <row r="57" spans="1:58" ht="15.75">
      <c r="A57" s="17"/>
      <c r="B57" s="103">
        <v>2.1</v>
      </c>
      <c r="C57" s="17" t="s">
        <v>252</v>
      </c>
      <c r="D57" s="94">
        <f>W86</f>
        <v>48</v>
      </c>
      <c r="E57" s="86" t="s">
        <v>30</v>
      </c>
      <c r="F57" s="17"/>
      <c r="G57" s="108" t="s">
        <v>216</v>
      </c>
      <c r="H57" s="17"/>
      <c r="I57" s="25"/>
      <c r="J57" s="17" t="s">
        <v>206</v>
      </c>
      <c r="K57" s="17"/>
      <c r="L57" s="17"/>
      <c r="M57" s="105">
        <f>M150</f>
        <v>35</v>
      </c>
      <c r="N57" s="17" t="s">
        <v>30</v>
      </c>
      <c r="O57" s="34" t="s">
        <v>216</v>
      </c>
      <c r="P57" s="17"/>
      <c r="Q57" s="24"/>
      <c r="R57" s="17"/>
      <c r="S57" s="25"/>
      <c r="T57" s="17" t="s">
        <v>141</v>
      </c>
      <c r="U57" s="17"/>
      <c r="V57" s="17"/>
      <c r="W57" s="17"/>
      <c r="X57" s="17"/>
      <c r="Y57" s="69">
        <f>Y52/Y55</f>
        <v>75.068493150684915</v>
      </c>
      <c r="Z57" s="17" t="s">
        <v>63</v>
      </c>
      <c r="AA57" s="73" t="s">
        <v>215</v>
      </c>
      <c r="AB57" s="17"/>
      <c r="AC57" s="157"/>
      <c r="AD57" s="38" t="s">
        <v>188</v>
      </c>
      <c r="AE57" s="38" t="s">
        <v>153</v>
      </c>
      <c r="AF57" s="38" t="s">
        <v>122</v>
      </c>
      <c r="AG57" s="38" t="s">
        <v>123</v>
      </c>
      <c r="AH57" s="38" t="s">
        <v>124</v>
      </c>
      <c r="AI57" s="38" t="s">
        <v>154</v>
      </c>
      <c r="AJ57" s="38" t="s">
        <v>155</v>
      </c>
      <c r="AK57" s="17"/>
      <c r="AL57" s="85" t="str">
        <f t="shared" si="6"/>
        <v>รำสกัด</v>
      </c>
      <c r="AM57" s="155">
        <f t="shared" si="7"/>
        <v>6</v>
      </c>
      <c r="AN57" s="223"/>
      <c r="AO57" s="223"/>
      <c r="AP57" s="223"/>
      <c r="AQ57" s="223"/>
      <c r="AR57" s="223"/>
      <c r="AS57" s="223"/>
      <c r="AT57" s="64"/>
      <c r="AU57" s="64"/>
      <c r="AV57" s="64"/>
      <c r="AW57" s="64"/>
      <c r="AX57" s="64"/>
      <c r="AY57" s="64"/>
      <c r="AZ57" s="133"/>
      <c r="BA57" s="4"/>
      <c r="BB57" s="4"/>
      <c r="BC57" s="4"/>
      <c r="BD57" s="4"/>
      <c r="BE57" s="4"/>
      <c r="BF57" s="2"/>
    </row>
    <row r="58" spans="1:58" ht="15.75">
      <c r="A58" s="17"/>
      <c r="B58" s="125"/>
      <c r="C58" s="17"/>
      <c r="D58" s="17"/>
      <c r="E58" s="86"/>
      <c r="F58" s="17"/>
      <c r="G58" s="24"/>
      <c r="H58" s="17"/>
      <c r="I58" s="25"/>
      <c r="J58" s="17" t="s">
        <v>207</v>
      </c>
      <c r="K58" s="17"/>
      <c r="L58" s="17"/>
      <c r="M58" s="105">
        <f>M158</f>
        <v>131</v>
      </c>
      <c r="N58" s="17" t="s">
        <v>30</v>
      </c>
      <c r="O58" s="34" t="s">
        <v>216</v>
      </c>
      <c r="P58" s="17"/>
      <c r="Q58" s="24"/>
      <c r="R58" s="17"/>
      <c r="S58" s="30"/>
      <c r="T58" s="31"/>
      <c r="U58" s="31"/>
      <c r="V58" s="31"/>
      <c r="W58" s="31"/>
      <c r="X58" s="31"/>
      <c r="Y58" s="31"/>
      <c r="Z58" s="31"/>
      <c r="AA58" s="32"/>
      <c r="AB58" s="17"/>
      <c r="AC58" s="30"/>
      <c r="AD58" s="45" t="s">
        <v>62</v>
      </c>
      <c r="AE58" s="46" t="s">
        <v>75</v>
      </c>
      <c r="AF58" s="46" t="s">
        <v>239</v>
      </c>
      <c r="AG58" s="46" t="s">
        <v>240</v>
      </c>
      <c r="AH58" s="46" t="s">
        <v>241</v>
      </c>
      <c r="AI58" s="45"/>
      <c r="AJ58" s="45"/>
      <c r="AK58" s="17"/>
      <c r="AL58" s="25" t="str">
        <f t="shared" si="6"/>
        <v>กากถั่วเหลือง (44%)</v>
      </c>
      <c r="AM58" s="155">
        <f t="shared" si="7"/>
        <v>14</v>
      </c>
      <c r="AN58" s="223"/>
      <c r="AO58" s="223"/>
      <c r="AP58" s="223"/>
      <c r="AQ58" s="223"/>
      <c r="AR58" s="223"/>
      <c r="AS58" s="223">
        <v>15</v>
      </c>
      <c r="AT58" s="64"/>
      <c r="AU58" s="64"/>
      <c r="AV58" s="64"/>
      <c r="AW58" s="64"/>
      <c r="AX58" s="64"/>
      <c r="AY58" s="64"/>
      <c r="AZ58" s="34" t="s">
        <v>154</v>
      </c>
      <c r="BA58" s="4"/>
      <c r="BB58" s="4"/>
      <c r="BC58" s="4"/>
      <c r="BD58" s="4"/>
      <c r="BE58" s="4"/>
      <c r="BF58" s="2"/>
    </row>
    <row r="59" spans="1:58">
      <c r="A59" s="17"/>
      <c r="B59" s="125"/>
      <c r="C59" s="127" t="s">
        <v>185</v>
      </c>
      <c r="D59" s="129">
        <f>D56-D53+D57</f>
        <v>389.57557722208821</v>
      </c>
      <c r="E59" s="86" t="s">
        <v>30</v>
      </c>
      <c r="F59" s="158">
        <f>D59/D53*100</f>
        <v>7.5522203156035417</v>
      </c>
      <c r="G59" s="24" t="s">
        <v>0</v>
      </c>
      <c r="H59" s="17"/>
      <c r="I59" s="25"/>
      <c r="J59" s="17"/>
      <c r="K59" s="17"/>
      <c r="L59" s="17"/>
      <c r="M59" s="17"/>
      <c r="N59" s="17"/>
      <c r="O59" s="17"/>
      <c r="P59" s="17"/>
      <c r="Q59" s="24"/>
      <c r="R59" s="17"/>
      <c r="S59" s="36">
        <v>2.7</v>
      </c>
      <c r="T59" s="37" t="s">
        <v>22</v>
      </c>
      <c r="U59" s="17"/>
      <c r="V59" s="17"/>
      <c r="W59" s="17"/>
      <c r="X59" s="17"/>
      <c r="Y59" s="17"/>
      <c r="Z59" s="17"/>
      <c r="AA59" s="24"/>
      <c r="AB59" s="17"/>
      <c r="AC59" s="159" t="s">
        <v>187</v>
      </c>
      <c r="AD59" s="159"/>
      <c r="AE59" s="160"/>
      <c r="AF59" s="160" t="s">
        <v>189</v>
      </c>
      <c r="AG59" s="160"/>
      <c r="AH59" s="160"/>
      <c r="AI59" s="160"/>
      <c r="AJ59" s="161"/>
      <c r="AK59" s="17"/>
      <c r="AL59" s="85" t="str">
        <f t="shared" si="6"/>
        <v>กากถั่วเหลือง(49%)</v>
      </c>
      <c r="AM59" s="155">
        <f t="shared" si="7"/>
        <v>15</v>
      </c>
      <c r="AN59" s="223">
        <v>15</v>
      </c>
      <c r="AO59" s="223">
        <v>15</v>
      </c>
      <c r="AP59" s="223">
        <v>15</v>
      </c>
      <c r="AQ59" s="223">
        <v>15</v>
      </c>
      <c r="AR59" s="223">
        <v>15</v>
      </c>
      <c r="AS59" s="223"/>
      <c r="AT59" s="63"/>
      <c r="AU59" s="63"/>
      <c r="AV59" s="63"/>
      <c r="AW59" s="63"/>
      <c r="AX59" s="63"/>
      <c r="AY59" s="63"/>
      <c r="AZ59" s="133"/>
      <c r="BA59" s="4"/>
      <c r="BB59" s="4"/>
      <c r="BC59" s="4"/>
      <c r="BD59" s="4"/>
      <c r="BE59" s="4"/>
      <c r="BF59" s="2"/>
    </row>
    <row r="60" spans="1:58" ht="15">
      <c r="A60" s="18"/>
      <c r="B60" s="130"/>
      <c r="C60" s="31"/>
      <c r="D60" s="31"/>
      <c r="E60" s="31"/>
      <c r="F60" s="31"/>
      <c r="G60" s="32"/>
      <c r="H60" s="17"/>
      <c r="I60" s="25"/>
      <c r="J60" s="83" t="s">
        <v>79</v>
      </c>
      <c r="K60" s="83"/>
      <c r="L60" s="83"/>
      <c r="M60" s="69">
        <f>M55+M57+M58</f>
        <v>171.26607538802659</v>
      </c>
      <c r="N60" s="17" t="s">
        <v>30</v>
      </c>
      <c r="O60" s="17"/>
      <c r="P60" s="35" t="s">
        <v>215</v>
      </c>
      <c r="Q60" s="24"/>
      <c r="R60" s="17"/>
      <c r="S60" s="25"/>
      <c r="T60" s="17"/>
      <c r="U60" s="17"/>
      <c r="V60" s="17"/>
      <c r="W60" s="17"/>
      <c r="X60" s="17"/>
      <c r="Y60" s="17"/>
      <c r="Z60" s="17"/>
      <c r="AA60" s="24"/>
      <c r="AB60" s="17"/>
      <c r="AC60" s="220" t="s">
        <v>326</v>
      </c>
      <c r="AD60" s="162">
        <v>570</v>
      </c>
      <c r="AE60" s="163">
        <v>600</v>
      </c>
      <c r="AF60" s="163"/>
      <c r="AG60" s="163"/>
      <c r="AH60" s="163"/>
      <c r="AI60" s="163"/>
      <c r="AJ60" s="163">
        <v>600</v>
      </c>
      <c r="AK60" s="17"/>
      <c r="AL60" s="85" t="str">
        <f t="shared" si="6"/>
        <v>ถั่วเหลืองเอ็กทรูด (ถั่วอบ)</v>
      </c>
      <c r="AM60" s="155">
        <f t="shared" si="7"/>
        <v>16</v>
      </c>
      <c r="AN60" s="223">
        <v>18</v>
      </c>
      <c r="AO60" s="223">
        <v>22</v>
      </c>
      <c r="AP60" s="223">
        <v>23.5</v>
      </c>
      <c r="AQ60" s="223">
        <v>28.15</v>
      </c>
      <c r="AR60" s="223">
        <v>23</v>
      </c>
      <c r="AS60" s="223">
        <v>25</v>
      </c>
      <c r="AT60" s="63"/>
      <c r="AU60" s="63"/>
      <c r="AV60" s="63"/>
      <c r="AW60" s="63"/>
      <c r="AX60" s="63"/>
      <c r="AY60" s="63"/>
      <c r="AZ60" s="34" t="s">
        <v>155</v>
      </c>
      <c r="BA60" s="4"/>
      <c r="BB60" s="4"/>
      <c r="BC60" s="4"/>
      <c r="BD60" s="4"/>
      <c r="BE60" s="4"/>
      <c r="BF60" s="2"/>
    </row>
    <row r="61" spans="1:58">
      <c r="A61" s="18"/>
      <c r="B61" s="131"/>
      <c r="C61" s="17"/>
      <c r="D61" s="17"/>
      <c r="E61" s="17"/>
      <c r="F61" s="17"/>
      <c r="G61" s="24"/>
      <c r="H61" s="17"/>
      <c r="I61" s="30"/>
      <c r="J61" s="31"/>
      <c r="K61" s="31"/>
      <c r="L61" s="31"/>
      <c r="M61" s="31"/>
      <c r="N61" s="31"/>
      <c r="O61" s="31"/>
      <c r="P61" s="31"/>
      <c r="Q61" s="32"/>
      <c r="R61" s="17"/>
      <c r="S61" s="25"/>
      <c r="T61" s="17" t="s">
        <v>142</v>
      </c>
      <c r="U61" s="86"/>
      <c r="V61" s="86">
        <f>W50</f>
        <v>500</v>
      </c>
      <c r="W61" s="17" t="s">
        <v>143</v>
      </c>
      <c r="X61" s="17"/>
      <c r="Y61" s="87">
        <v>5</v>
      </c>
      <c r="Z61" s="17" t="s">
        <v>105</v>
      </c>
      <c r="AA61" s="24"/>
      <c r="AB61" s="17"/>
      <c r="AC61" s="220" t="s">
        <v>268</v>
      </c>
      <c r="AD61" s="162">
        <v>325</v>
      </c>
      <c r="AE61" s="163">
        <v>2000</v>
      </c>
      <c r="AF61" s="163"/>
      <c r="AG61" s="163"/>
      <c r="AH61" s="163"/>
      <c r="AI61" s="163"/>
      <c r="AJ61" s="163">
        <v>2000</v>
      </c>
      <c r="AK61" s="17"/>
      <c r="AL61" s="85" t="str">
        <f t="shared" si="6"/>
        <v>ปลาป่น (58%)</v>
      </c>
      <c r="AM61" s="155">
        <f t="shared" si="7"/>
        <v>35</v>
      </c>
      <c r="AN61" s="223">
        <v>5</v>
      </c>
      <c r="AO61" s="223">
        <v>5</v>
      </c>
      <c r="AP61" s="223">
        <v>5</v>
      </c>
      <c r="AQ61" s="223">
        <v>5</v>
      </c>
      <c r="AR61" s="223">
        <v>5</v>
      </c>
      <c r="AS61" s="223">
        <v>5</v>
      </c>
      <c r="AT61" s="63"/>
      <c r="AU61" s="63"/>
      <c r="AV61" s="63"/>
      <c r="AW61" s="63"/>
      <c r="AX61" s="63"/>
      <c r="AY61" s="63"/>
      <c r="AZ61" s="17"/>
      <c r="BA61" s="4"/>
      <c r="BB61" s="4"/>
      <c r="BC61" s="4"/>
      <c r="BD61" s="4"/>
      <c r="BE61" s="4"/>
      <c r="BF61" s="2"/>
    </row>
    <row r="62" spans="1:58">
      <c r="A62" s="18"/>
      <c r="B62" s="132" t="s">
        <v>227</v>
      </c>
      <c r="C62" s="164"/>
      <c r="D62" s="129">
        <f>D37+D59</f>
        <v>688.16841665687389</v>
      </c>
      <c r="E62" s="127" t="s">
        <v>30</v>
      </c>
      <c r="F62" s="165">
        <f>D62/(D30+D53)*100</f>
        <v>10.138127499101143</v>
      </c>
      <c r="G62" s="24" t="s">
        <v>0</v>
      </c>
      <c r="H62" s="17"/>
      <c r="I62" s="36">
        <v>1.6</v>
      </c>
      <c r="J62" s="37" t="s">
        <v>20</v>
      </c>
      <c r="K62" s="17"/>
      <c r="L62" s="17"/>
      <c r="M62" s="17"/>
      <c r="N62" s="17"/>
      <c r="O62" s="17"/>
      <c r="P62" s="17"/>
      <c r="Q62" s="24"/>
      <c r="R62" s="17"/>
      <c r="S62" s="25"/>
      <c r="T62" s="17" t="s">
        <v>144</v>
      </c>
      <c r="U62" s="17"/>
      <c r="V62" s="17"/>
      <c r="W62" s="17"/>
      <c r="X62" s="17"/>
      <c r="Y62" s="87">
        <v>1000</v>
      </c>
      <c r="Z62" s="17" t="s">
        <v>106</v>
      </c>
      <c r="AA62" s="24"/>
      <c r="AB62" s="17"/>
      <c r="AC62" s="220" t="s">
        <v>266</v>
      </c>
      <c r="AD62" s="162">
        <v>800</v>
      </c>
      <c r="AE62" s="163">
        <v>1500</v>
      </c>
      <c r="AF62" s="163"/>
      <c r="AG62" s="163"/>
      <c r="AH62" s="163"/>
      <c r="AI62" s="163"/>
      <c r="AJ62" s="163"/>
      <c r="AK62" s="17"/>
      <c r="AL62" s="85" t="str">
        <f t="shared" si="6"/>
        <v>กากเนื้อในปาล์ม</v>
      </c>
      <c r="AM62" s="155">
        <f t="shared" si="7"/>
        <v>8</v>
      </c>
      <c r="AN62" s="223"/>
      <c r="AO62" s="223"/>
      <c r="AP62" s="223"/>
      <c r="AQ62" s="223"/>
      <c r="AR62" s="223"/>
      <c r="AS62" s="223"/>
      <c r="AT62" s="63"/>
      <c r="AU62" s="63"/>
      <c r="AV62" s="63"/>
      <c r="AW62" s="63"/>
      <c r="AX62" s="63"/>
      <c r="AY62" s="63"/>
      <c r="AZ62" s="17"/>
      <c r="BA62" s="4"/>
      <c r="BB62" s="4"/>
      <c r="BC62" s="4"/>
      <c r="BD62" s="4"/>
      <c r="BE62" s="4"/>
      <c r="BF62" s="2"/>
    </row>
    <row r="63" spans="1:58" ht="15">
      <c r="A63" s="18"/>
      <c r="B63" s="132" t="s">
        <v>235</v>
      </c>
      <c r="C63" s="164"/>
      <c r="D63" s="129"/>
      <c r="E63" s="127"/>
      <c r="F63" s="17"/>
      <c r="G63" s="73"/>
      <c r="H63" s="17"/>
      <c r="I63" s="25"/>
      <c r="J63" s="17"/>
      <c r="K63" s="17"/>
      <c r="L63" s="17"/>
      <c r="M63" s="17"/>
      <c r="N63" s="17"/>
      <c r="O63" s="17"/>
      <c r="P63" s="17"/>
      <c r="Q63" s="24"/>
      <c r="R63" s="17"/>
      <c r="S63" s="25"/>
      <c r="T63" s="17" t="s">
        <v>103</v>
      </c>
      <c r="U63" s="17"/>
      <c r="V63" s="17"/>
      <c r="W63" s="17"/>
      <c r="X63" s="17"/>
      <c r="Y63" s="86">
        <f>Y61*Y62</f>
        <v>5000</v>
      </c>
      <c r="Z63" s="17" t="s">
        <v>85</v>
      </c>
      <c r="AA63" s="24"/>
      <c r="AB63" s="17"/>
      <c r="AC63" s="220" t="s">
        <v>265</v>
      </c>
      <c r="AD63" s="162">
        <v>30</v>
      </c>
      <c r="AE63" s="163">
        <v>1000</v>
      </c>
      <c r="AF63" s="163">
        <v>1000</v>
      </c>
      <c r="AG63" s="163">
        <v>1000</v>
      </c>
      <c r="AH63" s="163"/>
      <c r="AI63" s="163"/>
      <c r="AJ63" s="163"/>
      <c r="AK63" s="17"/>
      <c r="AL63" s="85" t="str">
        <f t="shared" si="6"/>
        <v>DDGS</v>
      </c>
      <c r="AM63" s="155">
        <f t="shared" si="7"/>
        <v>9</v>
      </c>
      <c r="AN63" s="223"/>
      <c r="AO63" s="223"/>
      <c r="AP63" s="223"/>
      <c r="AQ63" s="223"/>
      <c r="AR63" s="223"/>
      <c r="AS63" s="223"/>
      <c r="AT63" s="63"/>
      <c r="AU63" s="63"/>
      <c r="AV63" s="63"/>
      <c r="AW63" s="63"/>
      <c r="AX63" s="63"/>
      <c r="AY63" s="63"/>
      <c r="AZ63" s="17"/>
      <c r="BA63" s="4"/>
      <c r="BB63" s="4"/>
      <c r="BC63" s="4"/>
      <c r="BD63" s="4"/>
      <c r="BE63" s="4"/>
      <c r="BF63" s="2"/>
    </row>
    <row r="64" spans="1:58" ht="15">
      <c r="A64" s="18"/>
      <c r="B64" s="166"/>
      <c r="C64" s="31"/>
      <c r="D64" s="31"/>
      <c r="E64" s="31"/>
      <c r="F64" s="31"/>
      <c r="G64" s="167"/>
      <c r="H64" s="17"/>
      <c r="I64" s="25"/>
      <c r="J64" s="100" t="s">
        <v>80</v>
      </c>
      <c r="K64" s="87">
        <v>2</v>
      </c>
      <c r="L64" s="17" t="s">
        <v>81</v>
      </c>
      <c r="M64" s="168"/>
      <c r="N64" s="17"/>
      <c r="O64" s="87">
        <v>150</v>
      </c>
      <c r="P64" s="17" t="s">
        <v>306</v>
      </c>
      <c r="Q64" s="24"/>
      <c r="R64" s="17"/>
      <c r="S64" s="25"/>
      <c r="T64" s="17"/>
      <c r="U64" s="17"/>
      <c r="V64" s="17"/>
      <c r="W64" s="17"/>
      <c r="X64" s="17"/>
      <c r="Y64" s="86"/>
      <c r="Z64" s="17"/>
      <c r="AA64" s="24"/>
      <c r="AB64" s="17"/>
      <c r="AC64" s="220" t="s">
        <v>267</v>
      </c>
      <c r="AD64" s="162">
        <v>90</v>
      </c>
      <c r="AE64" s="163">
        <v>1000</v>
      </c>
      <c r="AF64" s="163">
        <v>1000</v>
      </c>
      <c r="AG64" s="163">
        <v>1000</v>
      </c>
      <c r="AH64" s="163"/>
      <c r="AI64" s="163"/>
      <c r="AJ64" s="163"/>
      <c r="AK64" s="17"/>
      <c r="AL64" s="85" t="str">
        <f t="shared" si="6"/>
        <v>เวย์ (whey)</v>
      </c>
      <c r="AM64" s="155">
        <f t="shared" si="7"/>
        <v>23</v>
      </c>
      <c r="AN64" s="223">
        <v>10</v>
      </c>
      <c r="AO64" s="223">
        <v>10</v>
      </c>
      <c r="AP64" s="223"/>
      <c r="AQ64" s="223"/>
      <c r="AR64" s="223"/>
      <c r="AS64" s="223"/>
      <c r="AT64" s="63"/>
      <c r="AU64" s="63"/>
      <c r="AV64" s="63"/>
      <c r="AW64" s="63"/>
      <c r="AX64" s="63"/>
      <c r="AY64" s="63"/>
      <c r="AZ64" s="17"/>
      <c r="BA64" s="4"/>
      <c r="BB64" s="4"/>
      <c r="BC64" s="4"/>
      <c r="BD64" s="4"/>
      <c r="BE64" s="4"/>
      <c r="BF64" s="2"/>
    </row>
    <row r="65" spans="1:58">
      <c r="A65" s="18"/>
      <c r="B65" s="169"/>
      <c r="C65" s="18"/>
      <c r="D65" s="18"/>
      <c r="E65" s="18"/>
      <c r="F65" s="18"/>
      <c r="G65" s="18"/>
      <c r="H65" s="17"/>
      <c r="I65" s="25"/>
      <c r="J65" s="133" t="s">
        <v>307</v>
      </c>
      <c r="K65" s="17"/>
      <c r="L65" s="100"/>
      <c r="M65" s="133"/>
      <c r="N65" s="17"/>
      <c r="O65" s="152">
        <f>M12*O64</f>
        <v>2706</v>
      </c>
      <c r="P65" s="18" t="s">
        <v>77</v>
      </c>
      <c r="Q65" s="24"/>
      <c r="R65" s="17"/>
      <c r="S65" s="25"/>
      <c r="T65" s="17" t="s">
        <v>145</v>
      </c>
      <c r="U65" s="17"/>
      <c r="V65" s="17"/>
      <c r="W65" s="17"/>
      <c r="X65" s="17"/>
      <c r="Y65" s="156">
        <f>Y55</f>
        <v>1332.1167883211681</v>
      </c>
      <c r="Z65" s="17" t="s">
        <v>44</v>
      </c>
      <c r="AA65" s="24"/>
      <c r="AB65" s="17"/>
      <c r="AC65" s="220" t="s">
        <v>271</v>
      </c>
      <c r="AD65" s="162">
        <v>40</v>
      </c>
      <c r="AE65" s="163">
        <v>250</v>
      </c>
      <c r="AF65" s="163">
        <v>250</v>
      </c>
      <c r="AG65" s="163">
        <v>250</v>
      </c>
      <c r="AH65" s="163">
        <v>250</v>
      </c>
      <c r="AI65" s="163">
        <v>250</v>
      </c>
      <c r="AJ65" s="163">
        <v>250</v>
      </c>
      <c r="AK65" s="17"/>
      <c r="AL65" s="85" t="str">
        <f t="shared" si="6"/>
        <v>กากคาโนล่า</v>
      </c>
      <c r="AM65" s="155">
        <f t="shared" si="7"/>
        <v>15</v>
      </c>
      <c r="AN65" s="223"/>
      <c r="AO65" s="223"/>
      <c r="AP65" s="223"/>
      <c r="AQ65" s="223"/>
      <c r="AR65" s="223"/>
      <c r="AS65" s="223"/>
      <c r="AT65" s="63"/>
      <c r="AU65" s="63"/>
      <c r="AV65" s="63"/>
      <c r="AW65" s="63"/>
      <c r="AX65" s="63"/>
      <c r="AY65" s="63"/>
      <c r="AZ65" s="17"/>
      <c r="BA65" s="4"/>
      <c r="BB65" s="4"/>
      <c r="BC65" s="4"/>
      <c r="BD65" s="4"/>
      <c r="BE65" s="4"/>
      <c r="BF65" s="2"/>
    </row>
    <row r="66" spans="1:58" ht="15">
      <c r="A66" s="18"/>
      <c r="B66" s="170"/>
      <c r="C66" s="18"/>
      <c r="D66" s="18"/>
      <c r="E66" s="18"/>
      <c r="F66" s="18"/>
      <c r="G66" s="18"/>
      <c r="H66" s="17"/>
      <c r="I66" s="25"/>
      <c r="J66" s="17"/>
      <c r="K66" s="17"/>
      <c r="L66" s="17"/>
      <c r="M66" s="17"/>
      <c r="N66" s="17"/>
      <c r="O66" s="17"/>
      <c r="P66" s="17"/>
      <c r="Q66" s="24"/>
      <c r="R66" s="17"/>
      <c r="S66" s="25"/>
      <c r="T66" s="17"/>
      <c r="U66" s="17"/>
      <c r="V66" s="17"/>
      <c r="W66" s="17"/>
      <c r="X66" s="17"/>
      <c r="Y66" s="86"/>
      <c r="Z66" s="17"/>
      <c r="AA66" s="24"/>
      <c r="AB66" s="17"/>
      <c r="AC66" s="220" t="s">
        <v>272</v>
      </c>
      <c r="AD66" s="162">
        <v>50</v>
      </c>
      <c r="AE66" s="163">
        <v>250</v>
      </c>
      <c r="AF66" s="163">
        <v>250</v>
      </c>
      <c r="AG66" s="163">
        <v>250</v>
      </c>
      <c r="AH66" s="163">
        <v>250</v>
      </c>
      <c r="AI66" s="163">
        <v>250</v>
      </c>
      <c r="AJ66" s="163">
        <v>250</v>
      </c>
      <c r="AK66" s="17"/>
      <c r="AL66" s="85" t="str">
        <f t="shared" si="6"/>
        <v>น้ำมันรำ</v>
      </c>
      <c r="AM66" s="155">
        <f t="shared" si="7"/>
        <v>25</v>
      </c>
      <c r="AN66" s="223">
        <v>3</v>
      </c>
      <c r="AO66" s="223">
        <v>3.5</v>
      </c>
      <c r="AP66" s="223">
        <v>3</v>
      </c>
      <c r="AQ66" s="223">
        <v>4</v>
      </c>
      <c r="AR66" s="223">
        <v>3</v>
      </c>
      <c r="AS66" s="223">
        <v>3</v>
      </c>
      <c r="AT66" s="63"/>
      <c r="AU66" s="63"/>
      <c r="AV66" s="63"/>
      <c r="AW66" s="63"/>
      <c r="AX66" s="63"/>
      <c r="AY66" s="63"/>
      <c r="AZ66" s="35" t="s">
        <v>215</v>
      </c>
      <c r="BA66" s="4"/>
      <c r="BB66" s="4"/>
      <c r="BC66" s="4"/>
      <c r="BD66" s="4"/>
      <c r="BE66" s="4"/>
      <c r="BF66" s="2"/>
    </row>
    <row r="67" spans="1:58" ht="15">
      <c r="A67" s="78"/>
      <c r="B67" s="78" t="s">
        <v>217</v>
      </c>
      <c r="C67" s="18"/>
      <c r="D67" s="18"/>
      <c r="E67" s="229" t="s">
        <v>218</v>
      </c>
      <c r="F67" s="18"/>
      <c r="G67" s="229" t="s">
        <v>221</v>
      </c>
      <c r="H67" s="17"/>
      <c r="I67" s="25"/>
      <c r="J67" s="133" t="s">
        <v>82</v>
      </c>
      <c r="K67" s="126">
        <v>7000</v>
      </c>
      <c r="L67" s="66" t="s">
        <v>83</v>
      </c>
      <c r="M67" s="86" t="s">
        <v>84</v>
      </c>
      <c r="N67" s="171">
        <f>K67*K64*12</f>
        <v>168000</v>
      </c>
      <c r="O67" s="17" t="s">
        <v>85</v>
      </c>
      <c r="P67" s="17"/>
      <c r="Q67" s="24"/>
      <c r="R67" s="17"/>
      <c r="S67" s="25"/>
      <c r="T67" s="17" t="s">
        <v>146</v>
      </c>
      <c r="U67" s="17"/>
      <c r="V67" s="17"/>
      <c r="W67" s="17"/>
      <c r="X67" s="17"/>
      <c r="Y67" s="69">
        <f>Y63/Y65</f>
        <v>3.753424657534246</v>
      </c>
      <c r="Z67" s="17" t="s">
        <v>63</v>
      </c>
      <c r="AA67" s="73" t="s">
        <v>215</v>
      </c>
      <c r="AB67" s="17"/>
      <c r="AC67" s="220"/>
      <c r="AD67" s="162"/>
      <c r="AE67" s="163"/>
      <c r="AF67" s="163"/>
      <c r="AG67" s="163"/>
      <c r="AH67" s="163"/>
      <c r="AI67" s="163"/>
      <c r="AJ67" s="163"/>
      <c r="AK67" s="17"/>
      <c r="AL67" s="85" t="str">
        <f t="shared" ref="AL67:AM74" si="8">AC22</f>
        <v>เปลือกหอย/หินปูน</v>
      </c>
      <c r="AM67" s="155">
        <f t="shared" si="8"/>
        <v>2.5</v>
      </c>
      <c r="AN67" s="223"/>
      <c r="AO67" s="223"/>
      <c r="AP67" s="223"/>
      <c r="AQ67" s="223"/>
      <c r="AR67" s="223"/>
      <c r="AS67" s="223"/>
      <c r="AT67" s="63"/>
      <c r="AU67" s="63"/>
      <c r="AV67" s="63"/>
      <c r="AW67" s="63"/>
      <c r="AX67" s="63"/>
      <c r="AY67" s="63"/>
      <c r="AZ67" s="17"/>
      <c r="BA67" s="4"/>
      <c r="BB67" s="4"/>
      <c r="BC67" s="4"/>
      <c r="BD67" s="4"/>
      <c r="BE67" s="4"/>
      <c r="BF67" s="2"/>
    </row>
    <row r="68" spans="1:58">
      <c r="A68" s="85"/>
      <c r="B68" s="230"/>
      <c r="C68" s="121"/>
      <c r="D68" s="159"/>
      <c r="E68" s="159"/>
      <c r="F68" s="159"/>
      <c r="G68" s="159"/>
      <c r="H68" s="17"/>
      <c r="I68" s="25"/>
      <c r="J68" s="17"/>
      <c r="K68" s="17"/>
      <c r="L68" s="17"/>
      <c r="M68" s="17"/>
      <c r="N68" s="17"/>
      <c r="O68" s="17"/>
      <c r="P68" s="17"/>
      <c r="Q68" s="24"/>
      <c r="R68" s="17"/>
      <c r="S68" s="30"/>
      <c r="T68" s="31"/>
      <c r="U68" s="31"/>
      <c r="V68" s="31"/>
      <c r="W68" s="31"/>
      <c r="X68" s="31"/>
      <c r="Y68" s="31"/>
      <c r="Z68" s="31"/>
      <c r="AA68" s="32"/>
      <c r="AB68" s="17"/>
      <c r="AC68" s="63"/>
      <c r="AD68" s="162"/>
      <c r="AE68" s="163"/>
      <c r="AF68" s="163"/>
      <c r="AG68" s="163"/>
      <c r="AH68" s="163"/>
      <c r="AI68" s="163"/>
      <c r="AJ68" s="163"/>
      <c r="AK68" s="17"/>
      <c r="AL68" s="85" t="str">
        <f t="shared" si="8"/>
        <v>ไดแคลเซี่ยมฟอสเฟต</v>
      </c>
      <c r="AM68" s="155">
        <f t="shared" si="8"/>
        <v>13</v>
      </c>
      <c r="AN68" s="223"/>
      <c r="AO68" s="223"/>
      <c r="AP68" s="223"/>
      <c r="AQ68" s="223"/>
      <c r="AR68" s="223"/>
      <c r="AS68" s="223"/>
      <c r="AT68" s="63"/>
      <c r="AU68" s="63"/>
      <c r="AV68" s="63"/>
      <c r="AW68" s="63"/>
      <c r="AX68" s="63"/>
      <c r="AY68" s="63"/>
      <c r="AZ68" s="17"/>
      <c r="BA68" s="4"/>
      <c r="BB68" s="4"/>
      <c r="BC68" s="4"/>
      <c r="BD68" s="4"/>
      <c r="BE68" s="4"/>
      <c r="BF68" s="2"/>
    </row>
    <row r="69" spans="1:58" ht="15">
      <c r="A69" s="85"/>
      <c r="B69" s="230"/>
      <c r="C69" s="231"/>
      <c r="D69" s="159"/>
      <c r="E69" s="159"/>
      <c r="F69" s="159"/>
      <c r="G69" s="159"/>
      <c r="H69" s="17"/>
      <c r="I69" s="25"/>
      <c r="J69" s="83" t="s">
        <v>86</v>
      </c>
      <c r="K69" s="83"/>
      <c r="L69" s="145">
        <f>N67/O65</f>
        <v>62.084257206208427</v>
      </c>
      <c r="M69" s="83" t="s">
        <v>30</v>
      </c>
      <c r="N69" s="17"/>
      <c r="O69" s="17"/>
      <c r="P69" s="35" t="s">
        <v>215</v>
      </c>
      <c r="Q69" s="24"/>
      <c r="R69" s="17"/>
      <c r="S69" s="36">
        <v>2.8</v>
      </c>
      <c r="T69" s="37" t="s">
        <v>147</v>
      </c>
      <c r="U69" s="17"/>
      <c r="V69" s="17"/>
      <c r="W69" s="17"/>
      <c r="X69" s="17"/>
      <c r="Y69" s="17"/>
      <c r="Z69" s="17"/>
      <c r="AA69" s="24"/>
      <c r="AB69" s="17"/>
      <c r="AC69" s="63"/>
      <c r="AD69" s="162"/>
      <c r="AE69" s="163"/>
      <c r="AF69" s="163"/>
      <c r="AG69" s="163"/>
      <c r="AH69" s="163"/>
      <c r="AI69" s="163"/>
      <c r="AJ69" s="163"/>
      <c r="AK69" s="17"/>
      <c r="AL69" s="85" t="str">
        <f t="shared" si="8"/>
        <v>โมโนแคลเซี่ยมฟอสเฟต</v>
      </c>
      <c r="AM69" s="155">
        <f t="shared" si="8"/>
        <v>18</v>
      </c>
      <c r="AN69" s="223">
        <v>2.9</v>
      </c>
      <c r="AO69" s="223">
        <v>2.9</v>
      </c>
      <c r="AP69" s="223">
        <v>2.9</v>
      </c>
      <c r="AQ69" s="223">
        <v>2.9</v>
      </c>
      <c r="AR69" s="223">
        <v>2.9</v>
      </c>
      <c r="AS69" s="223">
        <v>2.9</v>
      </c>
      <c r="AT69" s="63"/>
      <c r="AU69" s="63"/>
      <c r="AV69" s="63"/>
      <c r="AW69" s="63"/>
      <c r="AX69" s="63"/>
      <c r="AY69" s="63"/>
      <c r="AZ69" s="17"/>
      <c r="BA69" s="4"/>
      <c r="BB69" s="4"/>
      <c r="BC69" s="4"/>
      <c r="BD69" s="4"/>
      <c r="BE69" s="4"/>
      <c r="BF69" s="2"/>
    </row>
    <row r="70" spans="1:58">
      <c r="A70" s="85"/>
      <c r="B70" s="230"/>
      <c r="C70" s="121"/>
      <c r="D70" s="159"/>
      <c r="E70" s="159"/>
      <c r="F70" s="159"/>
      <c r="G70" s="159"/>
      <c r="H70" s="17"/>
      <c r="I70" s="30"/>
      <c r="J70" s="31"/>
      <c r="K70" s="31"/>
      <c r="L70" s="31"/>
      <c r="M70" s="31"/>
      <c r="N70" s="31"/>
      <c r="O70" s="31"/>
      <c r="P70" s="31"/>
      <c r="Q70" s="32"/>
      <c r="R70" s="17"/>
      <c r="S70" s="25"/>
      <c r="T70" s="17"/>
      <c r="U70" s="17"/>
      <c r="V70" s="17"/>
      <c r="W70" s="17"/>
      <c r="X70" s="17"/>
      <c r="Y70" s="17"/>
      <c r="Z70" s="17"/>
      <c r="AA70" s="24"/>
      <c r="AB70" s="17"/>
      <c r="AC70" s="85"/>
      <c r="AD70" s="85"/>
      <c r="AE70" s="59"/>
      <c r="AF70" s="59"/>
      <c r="AG70" s="59"/>
      <c r="AH70" s="59"/>
      <c r="AI70" s="59"/>
      <c r="AJ70" s="60"/>
      <c r="AK70" s="17"/>
      <c r="AL70" s="85" t="str">
        <f t="shared" si="8"/>
        <v>เกลือ</v>
      </c>
      <c r="AM70" s="155">
        <f t="shared" si="8"/>
        <v>1.5</v>
      </c>
      <c r="AN70" s="223">
        <v>0.35</v>
      </c>
      <c r="AO70" s="223">
        <v>0.35</v>
      </c>
      <c r="AP70" s="223">
        <v>0.35</v>
      </c>
      <c r="AQ70" s="223">
        <v>0.35</v>
      </c>
      <c r="AR70" s="223">
        <v>0.35</v>
      </c>
      <c r="AS70" s="223">
        <v>0.35</v>
      </c>
      <c r="AT70" s="63"/>
      <c r="AU70" s="63"/>
      <c r="AV70" s="63"/>
      <c r="AW70" s="63"/>
      <c r="AX70" s="63"/>
      <c r="AY70" s="63"/>
      <c r="AZ70" s="17"/>
      <c r="BA70" s="4"/>
      <c r="BB70" s="4"/>
      <c r="BC70" s="4"/>
      <c r="BD70" s="4"/>
      <c r="BE70" s="4"/>
      <c r="BF70" s="2"/>
    </row>
    <row r="71" spans="1:58">
      <c r="A71" s="85"/>
      <c r="B71" s="230"/>
      <c r="C71" s="121"/>
      <c r="D71" s="159"/>
      <c r="E71" s="159"/>
      <c r="F71" s="159"/>
      <c r="G71" s="159"/>
      <c r="H71" s="17"/>
      <c r="I71" s="36">
        <v>1.7</v>
      </c>
      <c r="J71" s="37" t="s">
        <v>87</v>
      </c>
      <c r="K71" s="37"/>
      <c r="L71" s="17"/>
      <c r="M71" s="17"/>
      <c r="N71" s="17"/>
      <c r="O71" s="17"/>
      <c r="P71" s="17"/>
      <c r="Q71" s="24"/>
      <c r="R71" s="17"/>
      <c r="S71" s="25"/>
      <c r="T71" s="54" t="s">
        <v>148</v>
      </c>
      <c r="U71" s="17"/>
      <c r="V71" s="17"/>
      <c r="W71" s="17"/>
      <c r="X71" s="17"/>
      <c r="Y71" s="87">
        <v>100</v>
      </c>
      <c r="Z71" s="17" t="s">
        <v>63</v>
      </c>
      <c r="AA71" s="108" t="s">
        <v>215</v>
      </c>
      <c r="AB71" s="17"/>
      <c r="AC71" s="173" t="s">
        <v>190</v>
      </c>
      <c r="AD71" s="85"/>
      <c r="AE71" s="117">
        <f>((AD60*AE60+AD61*AE61+AD62*AE62+AD63*AE63+AD64*AE64+AD65*AE65+AD66*AE66+AD67*AE67+AD68*AE68+AD69*AE69)/1000)/1000</f>
        <v>2.3344999999999998</v>
      </c>
      <c r="AF71" s="117">
        <f>((AD60*AF60+AD61*AF61+AD62*AF62+AD63*AF63+AD64*AF64+AD65*AF65+AD66*AF66+AD67*AF67+AD68*AF68+AD69*AF69)/1000)/1000</f>
        <v>0.14249999999999999</v>
      </c>
      <c r="AG71" s="117">
        <f>((AD60*AG60+AD61*AG61+AD62*AG62+AD63*AG63+AD64*AG64+AD65*AG65+AD66*AG66+AD67*AG67+AD68*AG68+AD69*AG69)/1000)/1000</f>
        <v>0.14249999999999999</v>
      </c>
      <c r="AH71" s="117">
        <f>((AD60*AH60+AD61*AH61+AD62*AH62+AD63*AH63+AD64*AH64+AD65*AH65+AD66*AH66+AD67*AH67+AD68*AH68+AD69*AH69)/1000)/1000</f>
        <v>2.2499999999999999E-2</v>
      </c>
      <c r="AI71" s="117">
        <f>((AD60*AI60+AD61*AI61+AD62*AI62+AD63*AI63+AD64*AI64+AD65*AI65+AD66*AI66+AD67*AI67+AD68*AI68+AD69*AI69)/1000)/1000</f>
        <v>2.2499999999999999E-2</v>
      </c>
      <c r="AJ71" s="174">
        <f>((AD60*AJ60+AD61*AJ61+AD62*AJ62+AD63*AJ63+AD64*AJ64+AD65*AJ65+AD66*AJ66+AD67*AJ67+AD68*AJ68+AD69*AJ69)/1000)/1000</f>
        <v>1.0145</v>
      </c>
      <c r="AK71" s="17"/>
      <c r="AL71" s="85" t="str">
        <f t="shared" si="8"/>
        <v>แอล-ไลซีน</v>
      </c>
      <c r="AM71" s="155">
        <f t="shared" si="8"/>
        <v>80</v>
      </c>
      <c r="AN71" s="223">
        <v>0.15</v>
      </c>
      <c r="AO71" s="223">
        <v>0.1</v>
      </c>
      <c r="AP71" s="223">
        <v>0.15</v>
      </c>
      <c r="AQ71" s="223">
        <v>0.1</v>
      </c>
      <c r="AR71" s="223">
        <v>0.15</v>
      </c>
      <c r="AS71" s="223">
        <v>0.15</v>
      </c>
      <c r="AT71" s="63"/>
      <c r="AU71" s="63"/>
      <c r="AV71" s="63"/>
      <c r="AW71" s="63"/>
      <c r="AX71" s="63"/>
      <c r="AY71" s="63"/>
      <c r="AZ71" s="17"/>
      <c r="BA71" s="4"/>
      <c r="BB71" s="4"/>
      <c r="BC71" s="4"/>
      <c r="BD71" s="4"/>
      <c r="BE71" s="4"/>
      <c r="BF71" s="2"/>
    </row>
    <row r="72" spans="1:58">
      <c r="A72" s="85"/>
      <c r="B72" s="230"/>
      <c r="C72" s="121"/>
      <c r="D72" s="159"/>
      <c r="E72" s="159"/>
      <c r="F72" s="159"/>
      <c r="G72" s="159"/>
      <c r="H72" s="17"/>
      <c r="I72" s="25"/>
      <c r="J72" s="17"/>
      <c r="K72" s="17"/>
      <c r="L72" s="17"/>
      <c r="M72" s="17"/>
      <c r="N72" s="17"/>
      <c r="O72" s="17"/>
      <c r="P72" s="17"/>
      <c r="Q72" s="24"/>
      <c r="R72" s="17"/>
      <c r="S72" s="30"/>
      <c r="T72" s="31"/>
      <c r="U72" s="31"/>
      <c r="V72" s="31"/>
      <c r="W72" s="31"/>
      <c r="X72" s="31"/>
      <c r="Y72" s="31"/>
      <c r="Z72" s="31"/>
      <c r="AA72" s="32"/>
      <c r="AB72" s="17"/>
      <c r="AC72" s="80"/>
      <c r="AD72" s="80"/>
      <c r="AE72" s="31"/>
      <c r="AF72" s="31"/>
      <c r="AG72" s="31"/>
      <c r="AH72" s="31"/>
      <c r="AI72" s="31"/>
      <c r="AJ72" s="32"/>
      <c r="AK72" s="17"/>
      <c r="AL72" s="85" t="str">
        <f t="shared" si="8"/>
        <v>ดีแอล-เมทไธโอนีน</v>
      </c>
      <c r="AM72" s="155">
        <f t="shared" si="8"/>
        <v>130</v>
      </c>
      <c r="AN72" s="224">
        <v>0.2</v>
      </c>
      <c r="AO72" s="223">
        <v>0.25</v>
      </c>
      <c r="AP72" s="223">
        <v>0.25</v>
      </c>
      <c r="AQ72" s="223">
        <v>0.3</v>
      </c>
      <c r="AR72" s="223">
        <v>0.3</v>
      </c>
      <c r="AS72" s="223">
        <v>0.3</v>
      </c>
      <c r="AT72" s="63"/>
      <c r="AU72" s="63"/>
      <c r="AV72" s="63"/>
      <c r="AW72" s="63"/>
      <c r="AX72" s="63"/>
      <c r="AY72" s="63"/>
      <c r="AZ72" s="17"/>
      <c r="BA72" s="4"/>
      <c r="BB72" s="4"/>
      <c r="BC72" s="4"/>
      <c r="BD72" s="4"/>
      <c r="BE72" s="4"/>
      <c r="BF72" s="2"/>
    </row>
    <row r="73" spans="1:58" ht="15">
      <c r="A73" s="85"/>
      <c r="B73" s="230"/>
      <c r="C73" s="121"/>
      <c r="D73" s="159"/>
      <c r="E73" s="159"/>
      <c r="F73" s="159"/>
      <c r="G73" s="159"/>
      <c r="H73" s="17"/>
      <c r="I73" s="25"/>
      <c r="J73" s="17" t="s">
        <v>88</v>
      </c>
      <c r="K73" s="17"/>
      <c r="L73" s="17"/>
      <c r="M73" s="17"/>
      <c r="N73" s="86">
        <f>O64</f>
        <v>150</v>
      </c>
      <c r="O73" s="133" t="s">
        <v>89</v>
      </c>
      <c r="P73" s="53">
        <v>10000</v>
      </c>
      <c r="Q73" s="24" t="s">
        <v>83</v>
      </c>
      <c r="R73" s="17"/>
      <c r="S73" s="36">
        <v>2.9</v>
      </c>
      <c r="T73" s="37" t="s">
        <v>112</v>
      </c>
      <c r="U73" s="17"/>
      <c r="V73" s="17"/>
      <c r="W73" s="17"/>
      <c r="X73" s="17"/>
      <c r="Y73" s="17"/>
      <c r="Z73" s="17"/>
      <c r="AA73" s="24"/>
      <c r="AB73" s="17"/>
      <c r="AC73" s="17"/>
      <c r="AD73" s="17"/>
      <c r="AE73" s="17"/>
      <c r="AF73" s="17"/>
      <c r="AG73" s="17"/>
      <c r="AH73" s="35" t="s">
        <v>215</v>
      </c>
      <c r="AI73" s="17"/>
      <c r="AJ73" s="17"/>
      <c r="AK73" s="17"/>
      <c r="AL73" s="85" t="str">
        <f t="shared" si="8"/>
        <v>แอล-ทรีโอนีน</v>
      </c>
      <c r="AM73" s="155">
        <f t="shared" si="8"/>
        <v>130</v>
      </c>
      <c r="AN73" s="223"/>
      <c r="AO73" s="223"/>
      <c r="AP73" s="223"/>
      <c r="AQ73" s="223"/>
      <c r="AR73" s="223"/>
      <c r="AS73" s="223"/>
      <c r="AT73" s="63"/>
      <c r="AU73" s="63"/>
      <c r="AV73" s="63"/>
      <c r="AW73" s="63"/>
      <c r="AX73" s="63"/>
      <c r="AY73" s="63"/>
      <c r="AZ73" s="17"/>
      <c r="BA73" s="4"/>
      <c r="BB73" s="4"/>
      <c r="BC73" s="4"/>
      <c r="BD73" s="4"/>
      <c r="BE73" s="4"/>
      <c r="BF73" s="2"/>
    </row>
    <row r="74" spans="1:58" ht="15">
      <c r="A74" s="85"/>
      <c r="B74" s="230"/>
      <c r="C74" s="121"/>
      <c r="D74" s="159"/>
      <c r="E74" s="159"/>
      <c r="F74" s="159"/>
      <c r="G74" s="159"/>
      <c r="H74" s="17"/>
      <c r="I74" s="25"/>
      <c r="J74" s="17"/>
      <c r="K74" s="17"/>
      <c r="L74" s="17"/>
      <c r="M74" s="17"/>
      <c r="N74" s="17"/>
      <c r="O74" s="17" t="s">
        <v>90</v>
      </c>
      <c r="P74" s="171">
        <f>P73*12</f>
        <v>120000</v>
      </c>
      <c r="Q74" s="24" t="s">
        <v>85</v>
      </c>
      <c r="R74" s="17"/>
      <c r="S74" s="25"/>
      <c r="T74" s="17"/>
      <c r="U74" s="17"/>
      <c r="V74" s="17"/>
      <c r="W74" s="17"/>
      <c r="X74" s="17"/>
      <c r="Y74" s="17"/>
      <c r="Z74" s="17"/>
      <c r="AA74" s="24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85" t="str">
        <f t="shared" si="8"/>
        <v>พรีมิกซ์</v>
      </c>
      <c r="AM74" s="155">
        <f t="shared" si="8"/>
        <v>50</v>
      </c>
      <c r="AN74" s="223">
        <v>0.25</v>
      </c>
      <c r="AO74" s="223">
        <v>0.25</v>
      </c>
      <c r="AP74" s="223">
        <v>0.25</v>
      </c>
      <c r="AQ74" s="223">
        <v>0.25</v>
      </c>
      <c r="AR74" s="223">
        <v>0.25</v>
      </c>
      <c r="AS74" s="223">
        <v>0.25</v>
      </c>
      <c r="AT74" s="63"/>
      <c r="AU74" s="63"/>
      <c r="AV74" s="63"/>
      <c r="AW74" s="63"/>
      <c r="AX74" s="63"/>
      <c r="AY74" s="63"/>
      <c r="AZ74" s="35"/>
      <c r="BA74" s="4"/>
      <c r="BB74" s="4"/>
      <c r="BC74" s="4"/>
      <c r="BD74" s="4"/>
      <c r="BE74" s="2"/>
    </row>
    <row r="75" spans="1:58">
      <c r="A75" s="85"/>
      <c r="B75" s="230"/>
      <c r="C75" s="121"/>
      <c r="D75" s="159"/>
      <c r="E75" s="159"/>
      <c r="F75" s="159"/>
      <c r="G75" s="159"/>
      <c r="H75" s="17"/>
      <c r="I75" s="25"/>
      <c r="J75" s="17" t="s">
        <v>91</v>
      </c>
      <c r="K75" s="17"/>
      <c r="L75" s="175">
        <f>O65</f>
        <v>2706</v>
      </c>
      <c r="M75" s="175" t="str">
        <f>P65</f>
        <v>ตัว/ปี</v>
      </c>
      <c r="N75" s="17" t="s">
        <v>44</v>
      </c>
      <c r="O75" s="17"/>
      <c r="P75" s="17"/>
      <c r="Q75" s="24"/>
      <c r="R75" s="17"/>
      <c r="S75" s="25"/>
      <c r="T75" s="17" t="s">
        <v>149</v>
      </c>
      <c r="U75" s="17"/>
      <c r="V75" s="17"/>
      <c r="W75" s="17"/>
      <c r="X75" s="17"/>
      <c r="Y75" s="56">
        <f>SUM(D43:D50)</f>
        <v>5100.9859237461405</v>
      </c>
      <c r="Z75" s="17" t="s">
        <v>30</v>
      </c>
      <c r="AA75" s="24" t="s">
        <v>14</v>
      </c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6" t="s">
        <v>59</v>
      </c>
      <c r="AM75" s="176"/>
      <c r="AN75" s="159">
        <f t="shared" ref="AN75:AY75" si="9">SUM(AN53:AN74)</f>
        <v>100.00000000000001</v>
      </c>
      <c r="AO75" s="159">
        <f t="shared" si="9"/>
        <v>100</v>
      </c>
      <c r="AP75" s="159">
        <f t="shared" si="9"/>
        <v>100</v>
      </c>
      <c r="AQ75" s="159">
        <f t="shared" si="9"/>
        <v>99.999999999999986</v>
      </c>
      <c r="AR75" s="159">
        <f t="shared" si="9"/>
        <v>100</v>
      </c>
      <c r="AS75" s="159">
        <f t="shared" si="9"/>
        <v>100</v>
      </c>
      <c r="AT75" s="159">
        <f t="shared" si="9"/>
        <v>1</v>
      </c>
      <c r="AU75" s="159">
        <f t="shared" si="9"/>
        <v>1</v>
      </c>
      <c r="AV75" s="159">
        <f t="shared" si="9"/>
        <v>1</v>
      </c>
      <c r="AW75" s="159">
        <f t="shared" si="9"/>
        <v>1</v>
      </c>
      <c r="AX75" s="159">
        <f t="shared" si="9"/>
        <v>1</v>
      </c>
      <c r="AY75" s="159">
        <f t="shared" si="9"/>
        <v>1</v>
      </c>
      <c r="AZ75" s="17"/>
      <c r="BA75" s="4"/>
      <c r="BB75" s="4"/>
      <c r="BC75" s="4"/>
      <c r="BD75" s="4"/>
      <c r="BE75" s="2"/>
    </row>
    <row r="76" spans="1:58">
      <c r="A76" s="85"/>
      <c r="B76" s="230"/>
      <c r="C76" s="121"/>
      <c r="D76" s="159"/>
      <c r="E76" s="159"/>
      <c r="F76" s="159"/>
      <c r="G76" s="159"/>
      <c r="H76" s="17"/>
      <c r="I76" s="25"/>
      <c r="J76" s="17"/>
      <c r="K76" s="17"/>
      <c r="L76" s="17"/>
      <c r="M76" s="17"/>
      <c r="N76" s="17"/>
      <c r="O76" s="17"/>
      <c r="P76" s="17"/>
      <c r="Q76" s="24"/>
      <c r="R76" s="17"/>
      <c r="S76" s="25"/>
      <c r="T76" s="17" t="s">
        <v>114</v>
      </c>
      <c r="U76" s="17"/>
      <c r="V76" s="17"/>
      <c r="W76" s="17"/>
      <c r="X76" s="17"/>
      <c r="Y76" s="87">
        <v>6</v>
      </c>
      <c r="Z76" s="17" t="s">
        <v>0</v>
      </c>
      <c r="AA76" s="24"/>
      <c r="AB76" s="17"/>
      <c r="AC76" s="127" t="s">
        <v>218</v>
      </c>
      <c r="AD76" s="17"/>
      <c r="AE76" s="17"/>
      <c r="AF76" s="17"/>
      <c r="AG76" s="225" t="s">
        <v>217</v>
      </c>
      <c r="AH76" s="17"/>
      <c r="AI76" s="225" t="s">
        <v>221</v>
      </c>
      <c r="AJ76" s="17"/>
      <c r="AK76" s="17"/>
      <c r="AL76" s="176" t="s">
        <v>284</v>
      </c>
      <c r="AM76" s="176"/>
      <c r="AN76" s="15">
        <f t="shared" ref="AN76:AY76" si="10">($AM53*AN53+$AM54*AN54+$AM55*AN55+$AM56*AN56+$AM57*AN57+$AM58*AN58+$AM59*AN59+$AM60*AN60+$AM61*AN61+$AM62*AN62+$AM63*AN63+$AM64*AN64+$AM65*AN65+$AM66*AN66+$AM68*AN68+$AM69*AN69+$AM70*AN70+$AM71*AN71+$AM72*AN72+$AM73*AN73+$AM74*AN74)/AN75</f>
        <v>16.38025</v>
      </c>
      <c r="AO76" s="15">
        <f t="shared" si="10"/>
        <v>15.730250000000002</v>
      </c>
      <c r="AP76" s="15">
        <f t="shared" si="10"/>
        <v>14.659250000000002</v>
      </c>
      <c r="AQ76" s="15">
        <f t="shared" si="10"/>
        <v>13.922500000000005</v>
      </c>
      <c r="AR76" s="15">
        <f t="shared" si="10"/>
        <v>14.69825</v>
      </c>
      <c r="AS76" s="15">
        <f t="shared" si="10"/>
        <v>14.628250000000001</v>
      </c>
      <c r="AT76" s="15">
        <f t="shared" si="10"/>
        <v>12</v>
      </c>
      <c r="AU76" s="15">
        <f t="shared" si="10"/>
        <v>12</v>
      </c>
      <c r="AV76" s="15">
        <f t="shared" si="10"/>
        <v>12</v>
      </c>
      <c r="AW76" s="15">
        <f t="shared" si="10"/>
        <v>12</v>
      </c>
      <c r="AX76" s="15">
        <f t="shared" si="10"/>
        <v>12</v>
      </c>
      <c r="AY76" s="15">
        <f t="shared" si="10"/>
        <v>12</v>
      </c>
      <c r="AZ76" s="17"/>
      <c r="BA76" s="4"/>
      <c r="BB76" s="4"/>
      <c r="BC76" s="4"/>
      <c r="BD76" s="4"/>
      <c r="BE76" s="4"/>
      <c r="BF76" s="2"/>
    </row>
    <row r="77" spans="1:58" ht="15">
      <c r="A77" s="85"/>
      <c r="B77" s="230"/>
      <c r="C77" s="121"/>
      <c r="D77" s="121"/>
      <c r="E77" s="121"/>
      <c r="F77" s="121"/>
      <c r="G77" s="121"/>
      <c r="H77" s="17"/>
      <c r="I77" s="25"/>
      <c r="J77" s="83" t="s">
        <v>92</v>
      </c>
      <c r="K77" s="83"/>
      <c r="L77" s="83"/>
      <c r="M77" s="55">
        <f>P74/L75</f>
        <v>44.345898004434588</v>
      </c>
      <c r="N77" s="83" t="s">
        <v>63</v>
      </c>
      <c r="O77" s="17"/>
      <c r="P77" s="35" t="s">
        <v>215</v>
      </c>
      <c r="Q77" s="24"/>
      <c r="R77" s="17"/>
      <c r="S77" s="25"/>
      <c r="T77" s="17" t="s">
        <v>150</v>
      </c>
      <c r="U77" s="17"/>
      <c r="V77" s="17"/>
      <c r="W77" s="17"/>
      <c r="X77" s="17"/>
      <c r="Y77" s="87">
        <v>137</v>
      </c>
      <c r="Z77" s="17" t="s">
        <v>60</v>
      </c>
      <c r="AA77" s="24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8"/>
      <c r="AM77" s="18"/>
      <c r="AN77" s="18"/>
      <c r="AO77" s="18"/>
      <c r="AP77" s="18"/>
      <c r="AQ77" s="18"/>
      <c r="AR77" s="229"/>
      <c r="AS77" s="18"/>
      <c r="AT77" s="18"/>
      <c r="AU77" s="18"/>
      <c r="AV77" s="18"/>
      <c r="AW77" s="17"/>
      <c r="AX77" s="17"/>
      <c r="AY77" s="17"/>
      <c r="AZ77" s="17"/>
      <c r="BA77" s="4"/>
      <c r="BB77" s="4"/>
      <c r="BC77" s="4"/>
      <c r="BD77" s="4"/>
      <c r="BE77" s="4"/>
      <c r="BF77" s="2"/>
    </row>
    <row r="78" spans="1:58">
      <c r="A78" s="85"/>
      <c r="B78" s="230"/>
      <c r="C78" s="121"/>
      <c r="D78" s="121"/>
      <c r="E78" s="121"/>
      <c r="F78" s="121"/>
      <c r="G78" s="121"/>
      <c r="H78" s="17"/>
      <c r="I78" s="30"/>
      <c r="J78" s="31"/>
      <c r="K78" s="31"/>
      <c r="L78" s="31"/>
      <c r="M78" s="31"/>
      <c r="N78" s="31"/>
      <c r="O78" s="31"/>
      <c r="P78" s="31"/>
      <c r="Q78" s="32"/>
      <c r="R78" s="17"/>
      <c r="S78" s="25"/>
      <c r="T78" s="17"/>
      <c r="U78" s="17"/>
      <c r="V78" s="17"/>
      <c r="W78" s="17"/>
      <c r="X78" s="17"/>
      <c r="Y78" s="17"/>
      <c r="Z78" s="17"/>
      <c r="AA78" s="24"/>
      <c r="AB78" s="17"/>
      <c r="AC78" s="179"/>
      <c r="AD78" s="172"/>
      <c r="AE78" s="172"/>
      <c r="AF78" s="172"/>
      <c r="AG78" s="172"/>
      <c r="AH78" s="172"/>
      <c r="AI78" s="172"/>
      <c r="AJ78" s="180"/>
      <c r="AK78" s="17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7"/>
      <c r="AX78" s="17"/>
      <c r="AY78" s="17"/>
      <c r="AZ78" s="17"/>
      <c r="BA78" s="4"/>
      <c r="BB78" s="4"/>
      <c r="BC78" s="4"/>
      <c r="BD78" s="4"/>
      <c r="BE78" s="4"/>
      <c r="BF78" s="2"/>
    </row>
    <row r="79" spans="1:58" ht="15">
      <c r="A79" s="85"/>
      <c r="B79" s="230"/>
      <c r="C79" s="121"/>
      <c r="D79" s="121"/>
      <c r="E79" s="121"/>
      <c r="F79" s="121"/>
      <c r="G79" s="121"/>
      <c r="H79" s="17"/>
      <c r="I79" s="36">
        <v>1.8</v>
      </c>
      <c r="J79" s="37" t="s">
        <v>93</v>
      </c>
      <c r="K79" s="37"/>
      <c r="L79" s="17"/>
      <c r="M79" s="17"/>
      <c r="N79" s="17"/>
      <c r="O79" s="17"/>
      <c r="P79" s="17"/>
      <c r="Q79" s="24"/>
      <c r="R79" s="17"/>
      <c r="S79" s="25"/>
      <c r="T79" s="17" t="s">
        <v>151</v>
      </c>
      <c r="U79" s="17"/>
      <c r="V79" s="17"/>
      <c r="W79" s="17"/>
      <c r="X79" s="17"/>
      <c r="Y79" s="69">
        <f>((Y75/2)*Y76/100)*(Y77/365)</f>
        <v>57.438499031771613</v>
      </c>
      <c r="Z79" s="17" t="s">
        <v>63</v>
      </c>
      <c r="AA79" s="73" t="s">
        <v>215</v>
      </c>
      <c r="AB79" s="17"/>
      <c r="AC79" s="99"/>
      <c r="AD79" s="16"/>
      <c r="AE79" s="16"/>
      <c r="AF79" s="16"/>
      <c r="AG79" s="16"/>
      <c r="AH79" s="16"/>
      <c r="AI79" s="16"/>
      <c r="AJ79" s="177"/>
      <c r="AK79" s="17"/>
      <c r="AL79" s="77"/>
      <c r="AM79" s="41" t="s">
        <v>188</v>
      </c>
      <c r="AN79" s="232" t="s">
        <v>222</v>
      </c>
      <c r="AO79" s="233"/>
      <c r="AP79" s="233"/>
      <c r="AQ79" s="233"/>
      <c r="AR79" s="233"/>
      <c r="AS79" s="233"/>
      <c r="AT79" s="233"/>
      <c r="AU79" s="233"/>
      <c r="AV79" s="233"/>
      <c r="AW79" s="233"/>
      <c r="AX79" s="233"/>
      <c r="AY79" s="234"/>
      <c r="AZ79" s="17"/>
      <c r="BA79" s="4"/>
      <c r="BB79" s="4"/>
      <c r="BC79" s="4"/>
      <c r="BD79" s="4"/>
      <c r="BE79" s="4"/>
      <c r="BF79" s="2"/>
    </row>
    <row r="80" spans="1:58" ht="15">
      <c r="A80" s="85"/>
      <c r="B80" s="230"/>
      <c r="C80" s="121"/>
      <c r="D80" s="121"/>
      <c r="E80" s="121"/>
      <c r="F80" s="121"/>
      <c r="G80" s="121"/>
      <c r="H80" s="17"/>
      <c r="I80" s="25"/>
      <c r="J80" s="17"/>
      <c r="K80" s="17"/>
      <c r="L80" s="17"/>
      <c r="M80" s="17"/>
      <c r="N80" s="17"/>
      <c r="O80" s="17"/>
      <c r="P80" s="17"/>
      <c r="Q80" s="24"/>
      <c r="R80" s="17"/>
      <c r="S80" s="30"/>
      <c r="T80" s="31"/>
      <c r="U80" s="31"/>
      <c r="V80" s="31"/>
      <c r="W80" s="31"/>
      <c r="X80" s="31"/>
      <c r="Y80" s="31"/>
      <c r="Z80" s="31"/>
      <c r="AA80" s="32"/>
      <c r="AB80" s="17"/>
      <c r="AC80" s="99"/>
      <c r="AD80" s="16"/>
      <c r="AE80" s="16"/>
      <c r="AF80" s="16"/>
      <c r="AG80" s="16"/>
      <c r="AH80" s="16"/>
      <c r="AI80" s="16"/>
      <c r="AJ80" s="177"/>
      <c r="AK80" s="17"/>
      <c r="AL80" s="80"/>
      <c r="AM80" s="153" t="s">
        <v>120</v>
      </c>
      <c r="AN80" s="159">
        <v>1</v>
      </c>
      <c r="AO80" s="159">
        <v>2</v>
      </c>
      <c r="AP80" s="49">
        <v>3</v>
      </c>
      <c r="AQ80" s="227">
        <v>4</v>
      </c>
      <c r="AR80" s="227">
        <v>5</v>
      </c>
      <c r="AS80" s="228">
        <v>6</v>
      </c>
      <c r="AT80" s="227">
        <v>7</v>
      </c>
      <c r="AU80" s="227">
        <v>8</v>
      </c>
      <c r="AV80" s="228">
        <v>9</v>
      </c>
      <c r="AW80" s="227">
        <v>10</v>
      </c>
      <c r="AX80" s="227">
        <v>11</v>
      </c>
      <c r="AY80" s="228">
        <v>12</v>
      </c>
      <c r="AZ80" s="154" t="s">
        <v>302</v>
      </c>
      <c r="BA80" s="4"/>
      <c r="BB80" s="4"/>
      <c r="BC80" s="4"/>
      <c r="BD80" s="4"/>
      <c r="BE80" s="4"/>
      <c r="BF80" s="2"/>
    </row>
    <row r="81" spans="1:58">
      <c r="A81" s="85"/>
      <c r="B81" s="230"/>
      <c r="C81" s="121"/>
      <c r="D81" s="121"/>
      <c r="E81" s="121"/>
      <c r="F81" s="121"/>
      <c r="G81" s="121"/>
      <c r="H81" s="17"/>
      <c r="I81" s="25"/>
      <c r="J81" s="181" t="s">
        <v>238</v>
      </c>
      <c r="K81" s="17"/>
      <c r="L81" s="87">
        <v>150</v>
      </c>
      <c r="M81" s="17" t="s">
        <v>94</v>
      </c>
      <c r="N81" s="17"/>
      <c r="O81" s="182">
        <v>3000000</v>
      </c>
      <c r="P81" s="83" t="s">
        <v>30</v>
      </c>
      <c r="Q81" s="24"/>
      <c r="R81" s="17"/>
      <c r="S81" s="183">
        <v>2.1</v>
      </c>
      <c r="T81" s="184" t="s">
        <v>253</v>
      </c>
      <c r="U81" s="184"/>
      <c r="V81" s="20"/>
      <c r="W81" s="20"/>
      <c r="X81" s="20"/>
      <c r="Y81" s="20"/>
      <c r="Z81" s="20"/>
      <c r="AA81" s="21"/>
      <c r="AB81" s="17"/>
      <c r="AC81" s="99"/>
      <c r="AD81" s="16"/>
      <c r="AE81" s="16"/>
      <c r="AF81" s="16"/>
      <c r="AG81" s="16"/>
      <c r="AH81" s="16"/>
      <c r="AI81" s="16"/>
      <c r="AJ81" s="177"/>
      <c r="AK81" s="17"/>
      <c r="AL81" s="85" t="str">
        <f>AC8</f>
        <v>ปลายข้าว</v>
      </c>
      <c r="AM81" s="155">
        <f>AD8</f>
        <v>12</v>
      </c>
      <c r="AN81" s="223">
        <v>20</v>
      </c>
      <c r="AO81" s="223"/>
      <c r="AP81" s="223"/>
      <c r="AQ81" s="223"/>
      <c r="AR81" s="223"/>
      <c r="AS81" s="223"/>
      <c r="AT81" s="223"/>
      <c r="AU81" s="223"/>
      <c r="AV81" s="223"/>
      <c r="AW81" s="223"/>
      <c r="AX81" s="223"/>
      <c r="AY81" s="223"/>
      <c r="AZ81" s="133"/>
      <c r="BA81" s="4"/>
      <c r="BB81" s="4"/>
      <c r="BC81" s="4"/>
      <c r="BD81" s="4"/>
      <c r="BE81" s="4"/>
      <c r="BF81" s="2"/>
    </row>
    <row r="82" spans="1:58" ht="15">
      <c r="A82" s="85"/>
      <c r="B82" s="230"/>
      <c r="C82" s="121"/>
      <c r="D82" s="121"/>
      <c r="E82" s="121"/>
      <c r="F82" s="121"/>
      <c r="G82" s="121"/>
      <c r="H82" s="17"/>
      <c r="I82" s="25"/>
      <c r="J82" s="17" t="s">
        <v>97</v>
      </c>
      <c r="K82" s="17"/>
      <c r="L82" s="17"/>
      <c r="M82" s="17"/>
      <c r="N82" s="17"/>
      <c r="O82" s="185">
        <f>O81/L81</f>
        <v>20000</v>
      </c>
      <c r="P82" s="83" t="s">
        <v>30</v>
      </c>
      <c r="Q82" s="24"/>
      <c r="R82" s="17"/>
      <c r="S82" s="25"/>
      <c r="T82" s="18"/>
      <c r="U82" s="18"/>
      <c r="V82" s="18"/>
      <c r="W82" s="18"/>
      <c r="X82" s="18"/>
      <c r="Y82" s="18"/>
      <c r="Z82" s="18"/>
      <c r="AA82" s="24"/>
      <c r="AB82" s="17"/>
      <c r="AC82" s="99"/>
      <c r="AD82" s="16"/>
      <c r="AE82" s="16"/>
      <c r="AF82" s="16"/>
      <c r="AG82" s="16"/>
      <c r="AH82" s="16"/>
      <c r="AI82" s="16"/>
      <c r="AJ82" s="177"/>
      <c r="AK82" s="17"/>
      <c r="AL82" s="85" t="str">
        <f t="shared" ref="AL82:AL94" si="11">AC9</f>
        <v>ข้าวโพด</v>
      </c>
      <c r="AM82" s="155">
        <f t="shared" ref="AM82:AM94" si="12">AD9</f>
        <v>8.8000000000000007</v>
      </c>
      <c r="AN82" s="223">
        <v>31.45</v>
      </c>
      <c r="AO82" s="223">
        <v>50.35</v>
      </c>
      <c r="AP82" s="223">
        <v>27</v>
      </c>
      <c r="AQ82" s="223"/>
      <c r="AR82" s="223">
        <v>47.95</v>
      </c>
      <c r="AS82" s="223"/>
      <c r="AT82" s="223"/>
      <c r="AU82" s="223"/>
      <c r="AV82" s="223">
        <v>54.75</v>
      </c>
      <c r="AW82" s="223">
        <v>47.5</v>
      </c>
      <c r="AX82" s="223">
        <v>23.9</v>
      </c>
      <c r="AY82" s="223">
        <v>28.8</v>
      </c>
      <c r="AZ82" s="154" t="s">
        <v>299</v>
      </c>
      <c r="BA82" s="4"/>
      <c r="BB82" s="4"/>
      <c r="BC82" s="4"/>
      <c r="BD82" s="4"/>
      <c r="BE82" s="4"/>
      <c r="BF82" s="2"/>
    </row>
    <row r="83" spans="1:58">
      <c r="A83" s="85"/>
      <c r="B83" s="230"/>
      <c r="C83" s="121"/>
      <c r="D83" s="121"/>
      <c r="E83" s="121"/>
      <c r="F83" s="121"/>
      <c r="G83" s="121"/>
      <c r="H83" s="17"/>
      <c r="I83" s="25"/>
      <c r="J83" s="17" t="s">
        <v>96</v>
      </c>
      <c r="K83" s="17"/>
      <c r="L83" s="17"/>
      <c r="M83" s="17"/>
      <c r="N83" s="17"/>
      <c r="O83" s="186">
        <v>10</v>
      </c>
      <c r="P83" s="17" t="s">
        <v>202</v>
      </c>
      <c r="Q83" s="24"/>
      <c r="R83" s="17"/>
      <c r="S83" s="25"/>
      <c r="T83" s="18" t="s">
        <v>255</v>
      </c>
      <c r="U83" s="18"/>
      <c r="V83" s="140">
        <v>0.2</v>
      </c>
      <c r="W83" s="18" t="s">
        <v>245</v>
      </c>
      <c r="X83" s="18" t="s">
        <v>256</v>
      </c>
      <c r="Y83" s="18"/>
      <c r="Z83" s="140">
        <v>120</v>
      </c>
      <c r="AA83" s="24" t="s">
        <v>60</v>
      </c>
      <c r="AB83" s="17"/>
      <c r="AC83" s="99"/>
      <c r="AD83" s="16"/>
      <c r="AE83" s="16"/>
      <c r="AF83" s="16"/>
      <c r="AG83" s="16"/>
      <c r="AH83" s="16"/>
      <c r="AI83" s="16"/>
      <c r="AJ83" s="177"/>
      <c r="AK83" s="17"/>
      <c r="AL83" s="85" t="str">
        <f t="shared" si="11"/>
        <v>มันสำปะหลัง</v>
      </c>
      <c r="AM83" s="155">
        <f t="shared" si="12"/>
        <v>7.5</v>
      </c>
      <c r="AN83" s="223"/>
      <c r="AO83" s="223"/>
      <c r="AP83" s="223">
        <v>20</v>
      </c>
      <c r="AQ83" s="223">
        <v>42.95</v>
      </c>
      <c r="AR83" s="223"/>
      <c r="AS83" s="223">
        <v>41.95</v>
      </c>
      <c r="AT83" s="223">
        <v>41.95</v>
      </c>
      <c r="AU83" s="223">
        <v>47.95</v>
      </c>
      <c r="AV83" s="223"/>
      <c r="AW83" s="223"/>
      <c r="AX83" s="223">
        <v>20</v>
      </c>
      <c r="AY83" s="223">
        <v>20</v>
      </c>
      <c r="AZ83" s="133"/>
      <c r="BA83" s="4"/>
      <c r="BB83" s="4"/>
      <c r="BC83" s="4"/>
      <c r="BD83" s="4"/>
      <c r="BE83" s="4"/>
      <c r="BF83" s="2"/>
    </row>
    <row r="84" spans="1:58" ht="15">
      <c r="A84" s="85"/>
      <c r="B84" s="230"/>
      <c r="C84" s="121"/>
      <c r="D84" s="121"/>
      <c r="E84" s="121"/>
      <c r="F84" s="121"/>
      <c r="G84" s="121"/>
      <c r="H84" s="17"/>
      <c r="I84" s="25"/>
      <c r="J84" s="17" t="s">
        <v>95</v>
      </c>
      <c r="K84" s="17"/>
      <c r="L84" s="17"/>
      <c r="M84" s="17"/>
      <c r="N84" s="17"/>
      <c r="O84" s="185">
        <f>O82/O83</f>
        <v>2000</v>
      </c>
      <c r="P84" s="83" t="s">
        <v>30</v>
      </c>
      <c r="Q84" s="24"/>
      <c r="R84" s="17"/>
      <c r="S84" s="25"/>
      <c r="T84" s="18" t="s">
        <v>257</v>
      </c>
      <c r="U84" s="18"/>
      <c r="V84" s="187">
        <f>V83*Z83</f>
        <v>24</v>
      </c>
      <c r="W84" s="18" t="s">
        <v>258</v>
      </c>
      <c r="X84" s="18" t="s">
        <v>249</v>
      </c>
      <c r="Y84" s="18"/>
      <c r="Z84" s="140">
        <v>2</v>
      </c>
      <c r="AA84" s="24" t="s">
        <v>30</v>
      </c>
      <c r="AB84" s="17"/>
      <c r="AC84" s="99"/>
      <c r="AD84" s="16"/>
      <c r="AE84" s="16"/>
      <c r="AF84" s="16"/>
      <c r="AG84" s="16"/>
      <c r="AH84" s="16"/>
      <c r="AI84" s="16"/>
      <c r="AJ84" s="177"/>
      <c r="AK84" s="17"/>
      <c r="AL84" s="85" t="str">
        <f t="shared" si="11"/>
        <v>รำละเอียด</v>
      </c>
      <c r="AM84" s="155">
        <f t="shared" si="12"/>
        <v>7.8</v>
      </c>
      <c r="AN84" s="223">
        <v>10</v>
      </c>
      <c r="AO84" s="223">
        <v>10</v>
      </c>
      <c r="AP84" s="223">
        <v>10</v>
      </c>
      <c r="AQ84" s="223">
        <v>10</v>
      </c>
      <c r="AR84" s="223">
        <v>15</v>
      </c>
      <c r="AS84" s="223">
        <v>15</v>
      </c>
      <c r="AT84" s="223"/>
      <c r="AU84" s="223"/>
      <c r="AV84" s="223"/>
      <c r="AW84" s="223"/>
      <c r="AX84" s="223"/>
      <c r="AY84" s="223"/>
      <c r="AZ84" s="154" t="s">
        <v>301</v>
      </c>
      <c r="BA84" s="4"/>
      <c r="BB84" s="4"/>
      <c r="BC84" s="4"/>
      <c r="BD84" s="4"/>
      <c r="BE84" s="4"/>
      <c r="BF84" s="2"/>
    </row>
    <row r="85" spans="1:58">
      <c r="A85" s="85"/>
      <c r="B85" s="230"/>
      <c r="C85" s="121"/>
      <c r="D85" s="121"/>
      <c r="E85" s="121"/>
      <c r="F85" s="121"/>
      <c r="G85" s="121"/>
      <c r="H85" s="17"/>
      <c r="I85" s="25"/>
      <c r="J85" s="17"/>
      <c r="K85" s="17"/>
      <c r="L85" s="17"/>
      <c r="M85" s="17"/>
      <c r="N85" s="17"/>
      <c r="O85" s="17"/>
      <c r="P85" s="17"/>
      <c r="Q85" s="24"/>
      <c r="R85" s="17"/>
      <c r="S85" s="25"/>
      <c r="T85" s="18"/>
      <c r="U85" s="18"/>
      <c r="V85" s="18"/>
      <c r="W85" s="18"/>
      <c r="X85" s="18"/>
      <c r="Y85" s="18"/>
      <c r="Z85" s="18"/>
      <c r="AA85" s="24"/>
      <c r="AB85" s="17"/>
      <c r="AC85" s="99"/>
      <c r="AD85" s="16"/>
      <c r="AE85" s="16"/>
      <c r="AF85" s="16"/>
      <c r="AG85" s="16"/>
      <c r="AH85" s="16"/>
      <c r="AI85" s="16"/>
      <c r="AJ85" s="177"/>
      <c r="AK85" s="17"/>
      <c r="AL85" s="85" t="str">
        <f t="shared" si="11"/>
        <v>รำสกัด</v>
      </c>
      <c r="AM85" s="155">
        <f t="shared" si="12"/>
        <v>6</v>
      </c>
      <c r="AN85" s="223"/>
      <c r="AO85" s="223"/>
      <c r="AP85" s="223"/>
      <c r="AQ85" s="223"/>
      <c r="AR85" s="223"/>
      <c r="AS85" s="223"/>
      <c r="AT85" s="223"/>
      <c r="AU85" s="223"/>
      <c r="AV85" s="223"/>
      <c r="AW85" s="223"/>
      <c r="AX85" s="223"/>
      <c r="AY85" s="223"/>
      <c r="AZ85" s="133"/>
      <c r="BA85" s="4"/>
      <c r="BB85" s="4"/>
      <c r="BC85" s="4"/>
      <c r="BD85" s="4"/>
      <c r="BE85" s="4"/>
      <c r="BF85" s="2"/>
    </row>
    <row r="86" spans="1:58" ht="15">
      <c r="A86" s="85"/>
      <c r="B86" s="230"/>
      <c r="C86" s="121"/>
      <c r="D86" s="121"/>
      <c r="E86" s="121"/>
      <c r="F86" s="121"/>
      <c r="G86" s="121"/>
      <c r="H86" s="17"/>
      <c r="I86" s="25"/>
      <c r="J86" s="17" t="s">
        <v>98</v>
      </c>
      <c r="K86" s="17"/>
      <c r="L86" s="17"/>
      <c r="M86" s="86">
        <f>M12</f>
        <v>18.04</v>
      </c>
      <c r="N86" s="17" t="s">
        <v>77</v>
      </c>
      <c r="O86" s="17"/>
      <c r="P86" s="17"/>
      <c r="Q86" s="24"/>
      <c r="R86" s="17"/>
      <c r="S86" s="25"/>
      <c r="T86" s="18" t="s">
        <v>254</v>
      </c>
      <c r="U86" s="18"/>
      <c r="V86" s="18"/>
      <c r="W86" s="188">
        <f>V84*Z84</f>
        <v>48</v>
      </c>
      <c r="X86" s="18" t="s">
        <v>30</v>
      </c>
      <c r="Y86" s="18"/>
      <c r="Z86" s="18"/>
      <c r="AA86" s="73" t="s">
        <v>215</v>
      </c>
      <c r="AB86" s="17"/>
      <c r="AC86" s="99"/>
      <c r="AD86" s="16"/>
      <c r="AE86" s="16"/>
      <c r="AF86" s="16"/>
      <c r="AG86" s="16"/>
      <c r="AH86" s="16"/>
      <c r="AI86" s="16"/>
      <c r="AJ86" s="177"/>
      <c r="AK86" s="17"/>
      <c r="AL86" s="85" t="str">
        <f t="shared" si="11"/>
        <v>กากถั่วเหลือง (44%)</v>
      </c>
      <c r="AM86" s="155">
        <f t="shared" si="12"/>
        <v>14</v>
      </c>
      <c r="AN86" s="223">
        <v>24.5</v>
      </c>
      <c r="AO86" s="223">
        <v>24.5</v>
      </c>
      <c r="AP86" s="223">
        <v>28</v>
      </c>
      <c r="AQ86" s="223">
        <v>32</v>
      </c>
      <c r="AR86" s="223"/>
      <c r="AS86" s="223"/>
      <c r="AT86" s="223"/>
      <c r="AU86" s="223"/>
      <c r="AV86" s="223"/>
      <c r="AW86" s="223"/>
      <c r="AX86" s="223">
        <v>26</v>
      </c>
      <c r="AY86" s="223">
        <v>21</v>
      </c>
      <c r="AZ86" s="154" t="s">
        <v>154</v>
      </c>
      <c r="BA86" s="4"/>
      <c r="BB86" s="4"/>
      <c r="BC86" s="4"/>
      <c r="BD86" s="4"/>
      <c r="BE86" s="4"/>
      <c r="BF86" s="2"/>
    </row>
    <row r="87" spans="1:58">
      <c r="A87" s="85"/>
      <c r="B87" s="230"/>
      <c r="C87" s="121"/>
      <c r="D87" s="121"/>
      <c r="E87" s="121"/>
      <c r="F87" s="121"/>
      <c r="G87" s="121"/>
      <c r="H87" s="17"/>
      <c r="I87" s="25"/>
      <c r="J87" s="17"/>
      <c r="K87" s="17"/>
      <c r="L87" s="17"/>
      <c r="M87" s="17"/>
      <c r="N87" s="17"/>
      <c r="O87" s="17"/>
      <c r="P87" s="17"/>
      <c r="Q87" s="24"/>
      <c r="R87" s="17"/>
      <c r="S87" s="30"/>
      <c r="T87" s="31"/>
      <c r="U87" s="31"/>
      <c r="V87" s="31"/>
      <c r="W87" s="31"/>
      <c r="X87" s="31"/>
      <c r="Y87" s="31"/>
      <c r="Z87" s="31"/>
      <c r="AA87" s="32"/>
      <c r="AB87" s="17"/>
      <c r="AC87" s="99"/>
      <c r="AD87" s="16"/>
      <c r="AE87" s="16"/>
      <c r="AF87" s="16"/>
      <c r="AG87" s="16"/>
      <c r="AH87" s="16"/>
      <c r="AI87" s="16"/>
      <c r="AJ87" s="177"/>
      <c r="AK87" s="17"/>
      <c r="AL87" s="85" t="str">
        <f t="shared" si="11"/>
        <v>กากถั่วเหลือง(49%)</v>
      </c>
      <c r="AM87" s="155">
        <f t="shared" si="12"/>
        <v>15</v>
      </c>
      <c r="AN87" s="223"/>
      <c r="AO87" s="223"/>
      <c r="AP87" s="223"/>
      <c r="AQ87" s="223"/>
      <c r="AR87" s="223">
        <v>22</v>
      </c>
      <c r="AS87" s="223">
        <v>28</v>
      </c>
      <c r="AT87" s="223">
        <v>27</v>
      </c>
      <c r="AU87" s="223">
        <v>22.5</v>
      </c>
      <c r="AV87" s="223">
        <v>15</v>
      </c>
      <c r="AW87" s="223">
        <v>20.5</v>
      </c>
      <c r="AX87" s="223"/>
      <c r="AY87" s="223"/>
      <c r="AZ87" s="133"/>
      <c r="BA87" s="4"/>
      <c r="BB87" s="4"/>
      <c r="BC87" s="4"/>
      <c r="BD87" s="4"/>
      <c r="BE87" s="4"/>
      <c r="BF87" s="2"/>
    </row>
    <row r="88" spans="1:58" ht="15">
      <c r="A88" s="85"/>
      <c r="B88" s="230"/>
      <c r="C88" s="121"/>
      <c r="D88" s="121"/>
      <c r="E88" s="121"/>
      <c r="F88" s="121"/>
      <c r="G88" s="121"/>
      <c r="H88" s="17"/>
      <c r="I88" s="25"/>
      <c r="J88" s="83" t="s">
        <v>99</v>
      </c>
      <c r="K88" s="83"/>
      <c r="L88" s="83"/>
      <c r="M88" s="69">
        <f>O84/M86</f>
        <v>110.86474501108648</v>
      </c>
      <c r="N88" s="83" t="s">
        <v>30</v>
      </c>
      <c r="O88" s="17"/>
      <c r="P88" s="35" t="s">
        <v>215</v>
      </c>
      <c r="Q88" s="24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99"/>
      <c r="AD88" s="16"/>
      <c r="AE88" s="16"/>
      <c r="AF88" s="16"/>
      <c r="AG88" s="16"/>
      <c r="AH88" s="16"/>
      <c r="AI88" s="16"/>
      <c r="AJ88" s="177"/>
      <c r="AK88" s="17"/>
      <c r="AL88" s="85" t="str">
        <f t="shared" si="11"/>
        <v>ถั่วเหลืองเอ็กทรูด (ถั่วอบ)</v>
      </c>
      <c r="AM88" s="155">
        <f t="shared" si="12"/>
        <v>16</v>
      </c>
      <c r="AN88" s="223">
        <v>10</v>
      </c>
      <c r="AO88" s="223">
        <v>10</v>
      </c>
      <c r="AP88" s="223">
        <v>10</v>
      </c>
      <c r="AQ88" s="223">
        <v>10</v>
      </c>
      <c r="AR88" s="223">
        <v>10</v>
      </c>
      <c r="AS88" s="223">
        <v>10</v>
      </c>
      <c r="AT88" s="223">
        <v>10</v>
      </c>
      <c r="AU88" s="223">
        <v>10</v>
      </c>
      <c r="AV88" s="223">
        <v>10</v>
      </c>
      <c r="AW88" s="223">
        <v>10</v>
      </c>
      <c r="AX88" s="223">
        <v>10</v>
      </c>
      <c r="AY88" s="223">
        <v>10</v>
      </c>
      <c r="AZ88" s="154" t="s">
        <v>155</v>
      </c>
      <c r="BA88" s="4"/>
      <c r="BB88" s="4"/>
      <c r="BC88" s="4"/>
      <c r="BD88" s="4"/>
      <c r="BE88" s="4"/>
      <c r="BF88" s="2"/>
    </row>
    <row r="89" spans="1:58">
      <c r="A89" s="85"/>
      <c r="B89" s="230"/>
      <c r="C89" s="121"/>
      <c r="D89" s="121"/>
      <c r="E89" s="121"/>
      <c r="F89" s="121"/>
      <c r="G89" s="121"/>
      <c r="H89" s="17"/>
      <c r="I89" s="30"/>
      <c r="J89" s="31"/>
      <c r="K89" s="31"/>
      <c r="L89" s="31"/>
      <c r="M89" s="31"/>
      <c r="N89" s="31"/>
      <c r="O89" s="31"/>
      <c r="P89" s="31"/>
      <c r="Q89" s="32"/>
      <c r="R89" s="17"/>
      <c r="S89" s="19"/>
      <c r="T89" s="20"/>
      <c r="U89" s="20"/>
      <c r="V89" s="20"/>
      <c r="W89" s="20"/>
      <c r="X89" s="20"/>
      <c r="Y89" s="21"/>
      <c r="Z89" s="17"/>
      <c r="AA89" s="17"/>
      <c r="AB89" s="17"/>
      <c r="AC89" s="99"/>
      <c r="AD89" s="16"/>
      <c r="AE89" s="16"/>
      <c r="AF89" s="16"/>
      <c r="AG89" s="16"/>
      <c r="AH89" s="16"/>
      <c r="AI89" s="16"/>
      <c r="AJ89" s="177"/>
      <c r="AK89" s="17"/>
      <c r="AL89" s="85" t="str">
        <f t="shared" si="11"/>
        <v>ปลาป่น (58%)</v>
      </c>
      <c r="AM89" s="155">
        <f t="shared" si="12"/>
        <v>35</v>
      </c>
      <c r="AN89" s="223"/>
      <c r="AO89" s="223"/>
      <c r="AP89" s="223"/>
      <c r="AQ89" s="223"/>
      <c r="AR89" s="223"/>
      <c r="AS89" s="223"/>
      <c r="AT89" s="223"/>
      <c r="AU89" s="223"/>
      <c r="AV89" s="223"/>
      <c r="AW89" s="223"/>
      <c r="AX89" s="223"/>
      <c r="AY89" s="223"/>
      <c r="AZ89" s="17"/>
      <c r="BA89" s="4"/>
      <c r="BB89" s="4"/>
      <c r="BC89" s="4"/>
      <c r="BD89" s="4"/>
      <c r="BE89" s="4"/>
      <c r="BF89" s="2"/>
    </row>
    <row r="90" spans="1:58">
      <c r="A90" s="85"/>
      <c r="B90" s="230"/>
      <c r="C90" s="121"/>
      <c r="D90" s="121"/>
      <c r="E90" s="121"/>
      <c r="F90" s="121"/>
      <c r="G90" s="121"/>
      <c r="H90" s="17"/>
      <c r="I90" s="36">
        <v>1.9</v>
      </c>
      <c r="J90" s="37" t="s">
        <v>22</v>
      </c>
      <c r="K90" s="37"/>
      <c r="L90" s="17"/>
      <c r="M90" s="17"/>
      <c r="N90" s="17"/>
      <c r="O90" s="17"/>
      <c r="P90" s="17"/>
      <c r="Q90" s="24"/>
      <c r="R90" s="17"/>
      <c r="S90" s="25"/>
      <c r="T90" s="78" t="s">
        <v>234</v>
      </c>
      <c r="U90" s="18"/>
      <c r="V90" s="18"/>
      <c r="W90" s="18"/>
      <c r="X90" s="18"/>
      <c r="Y90" s="24"/>
      <c r="Z90" s="17"/>
      <c r="AA90" s="17"/>
      <c r="AB90" s="17"/>
      <c r="AC90" s="99"/>
      <c r="AD90" s="16"/>
      <c r="AE90" s="16"/>
      <c r="AF90" s="16"/>
      <c r="AG90" s="16"/>
      <c r="AH90" s="16"/>
      <c r="AI90" s="16"/>
      <c r="AJ90" s="177"/>
      <c r="AK90" s="17"/>
      <c r="AL90" s="85" t="str">
        <f t="shared" si="11"/>
        <v>กากเนื้อในปาล์ม</v>
      </c>
      <c r="AM90" s="155">
        <f t="shared" si="12"/>
        <v>8</v>
      </c>
      <c r="AN90" s="223"/>
      <c r="AO90" s="223"/>
      <c r="AP90" s="223"/>
      <c r="AQ90" s="223"/>
      <c r="AR90" s="223"/>
      <c r="AS90" s="223"/>
      <c r="AT90" s="223">
        <v>15</v>
      </c>
      <c r="AU90" s="223"/>
      <c r="AV90" s="223"/>
      <c r="AW90" s="223">
        <v>15</v>
      </c>
      <c r="AX90" s="223">
        <v>15</v>
      </c>
      <c r="AY90" s="223"/>
      <c r="AZ90" s="17"/>
      <c r="BA90" s="4"/>
      <c r="BB90" s="4"/>
      <c r="BC90" s="4"/>
      <c r="BD90" s="4"/>
      <c r="BE90" s="4"/>
      <c r="BF90" s="2"/>
    </row>
    <row r="91" spans="1:58">
      <c r="A91" s="85"/>
      <c r="B91" s="230"/>
      <c r="C91" s="121"/>
      <c r="D91" s="121"/>
      <c r="E91" s="121"/>
      <c r="F91" s="121"/>
      <c r="G91" s="121"/>
      <c r="H91" s="17"/>
      <c r="I91" s="25"/>
      <c r="J91" s="17"/>
      <c r="K91" s="17"/>
      <c r="L91" s="17"/>
      <c r="M91" s="17"/>
      <c r="N91" s="17"/>
      <c r="O91" s="17"/>
      <c r="P91" s="17"/>
      <c r="Q91" s="24"/>
      <c r="R91" s="17"/>
      <c r="S91" s="30"/>
      <c r="T91" s="31"/>
      <c r="U91" s="31"/>
      <c r="V91" s="31"/>
      <c r="W91" s="31"/>
      <c r="X91" s="31"/>
      <c r="Y91" s="32"/>
      <c r="Z91" s="17"/>
      <c r="AA91" s="17"/>
      <c r="AB91" s="17"/>
      <c r="AC91" s="99"/>
      <c r="AD91" s="16"/>
      <c r="AE91" s="16"/>
      <c r="AF91" s="16"/>
      <c r="AG91" s="16"/>
      <c r="AH91" s="16"/>
      <c r="AI91" s="16"/>
      <c r="AJ91" s="177"/>
      <c r="AK91" s="17"/>
      <c r="AL91" s="85" t="str">
        <f t="shared" si="11"/>
        <v>DDGS</v>
      </c>
      <c r="AM91" s="155">
        <f t="shared" si="12"/>
        <v>9</v>
      </c>
      <c r="AN91" s="223"/>
      <c r="AO91" s="223"/>
      <c r="AP91" s="223"/>
      <c r="AQ91" s="223"/>
      <c r="AR91" s="223"/>
      <c r="AS91" s="223"/>
      <c r="AT91" s="223"/>
      <c r="AU91" s="223">
        <v>15</v>
      </c>
      <c r="AV91" s="223">
        <v>15</v>
      </c>
      <c r="AW91" s="223"/>
      <c r="AX91" s="223"/>
      <c r="AY91" s="223">
        <v>15</v>
      </c>
      <c r="AZ91" s="17"/>
      <c r="BA91" s="4"/>
      <c r="BB91" s="4"/>
      <c r="BC91" s="4"/>
      <c r="BD91" s="4"/>
      <c r="BE91" s="4"/>
      <c r="BF91" s="2"/>
    </row>
    <row r="92" spans="1:58" ht="15.75">
      <c r="A92" s="85"/>
      <c r="B92" s="230"/>
      <c r="C92" s="121"/>
      <c r="D92" s="121"/>
      <c r="E92" s="121"/>
      <c r="F92" s="121"/>
      <c r="G92" s="121"/>
      <c r="H92" s="17"/>
      <c r="I92" s="25"/>
      <c r="J92" s="17" t="s">
        <v>100</v>
      </c>
      <c r="K92" s="86">
        <f>L81</f>
        <v>150</v>
      </c>
      <c r="L92" s="17" t="s">
        <v>101</v>
      </c>
      <c r="M92" s="17"/>
      <c r="N92" s="186">
        <v>10</v>
      </c>
      <c r="O92" s="17" t="s">
        <v>105</v>
      </c>
      <c r="P92" s="17"/>
      <c r="Q92" s="24"/>
      <c r="R92" s="17"/>
      <c r="S92" s="25"/>
      <c r="T92" s="18" t="s">
        <v>212</v>
      </c>
      <c r="U92" s="18"/>
      <c r="V92" s="18"/>
      <c r="W92" s="18"/>
      <c r="X92" s="59" t="s">
        <v>220</v>
      </c>
      <c r="Y92" s="24"/>
      <c r="Z92" s="17"/>
      <c r="AA92" s="17"/>
      <c r="AB92" s="17"/>
      <c r="AC92" s="99"/>
      <c r="AD92" s="16"/>
      <c r="AE92" s="16"/>
      <c r="AF92" s="16"/>
      <c r="AG92" s="16"/>
      <c r="AH92" s="16"/>
      <c r="AI92" s="16"/>
      <c r="AJ92" s="177"/>
      <c r="AK92" s="17"/>
      <c r="AL92" s="85" t="str">
        <f t="shared" si="11"/>
        <v>เวย์ (whey)</v>
      </c>
      <c r="AM92" s="155">
        <f t="shared" si="12"/>
        <v>23</v>
      </c>
      <c r="AN92" s="223"/>
      <c r="AO92" s="223"/>
      <c r="AP92" s="223"/>
      <c r="AQ92" s="223"/>
      <c r="AR92" s="223"/>
      <c r="AS92" s="223"/>
      <c r="AT92" s="223"/>
      <c r="AU92" s="223"/>
      <c r="AV92" s="223"/>
      <c r="AW92" s="223"/>
      <c r="AX92" s="223"/>
      <c r="AY92" s="223"/>
      <c r="AZ92" s="17"/>
      <c r="BA92" s="4"/>
      <c r="BB92" s="4"/>
      <c r="BC92" s="4"/>
      <c r="BD92" s="4"/>
      <c r="BE92" s="4"/>
      <c r="BF92" s="2"/>
    </row>
    <row r="93" spans="1:58" ht="15">
      <c r="A93" s="85"/>
      <c r="B93" s="230"/>
      <c r="C93" s="121"/>
      <c r="D93" s="121"/>
      <c r="E93" s="121"/>
      <c r="F93" s="121"/>
      <c r="G93" s="121"/>
      <c r="H93" s="17"/>
      <c r="I93" s="25"/>
      <c r="J93" s="17"/>
      <c r="K93" s="17" t="s">
        <v>102</v>
      </c>
      <c r="L93" s="17"/>
      <c r="M93" s="17"/>
      <c r="N93" s="182">
        <v>1000</v>
      </c>
      <c r="O93" s="17" t="s">
        <v>106</v>
      </c>
      <c r="P93" s="17"/>
      <c r="Q93" s="24"/>
      <c r="R93" s="17"/>
      <c r="S93" s="25"/>
      <c r="T93" s="18"/>
      <c r="U93" s="189" t="s">
        <v>324</v>
      </c>
      <c r="V93" s="189"/>
      <c r="W93" s="189"/>
      <c r="X93" s="190">
        <v>50</v>
      </c>
      <c r="Y93" s="24" t="s">
        <v>30</v>
      </c>
      <c r="Z93" s="17"/>
      <c r="AA93" s="17"/>
      <c r="AB93" s="17"/>
      <c r="AC93" s="99"/>
      <c r="AD93" s="16"/>
      <c r="AE93" s="16"/>
      <c r="AF93" s="16"/>
      <c r="AG93" s="16"/>
      <c r="AH93" s="16"/>
      <c r="AI93" s="16"/>
      <c r="AJ93" s="177"/>
      <c r="AK93" s="17"/>
      <c r="AL93" s="85" t="str">
        <f t="shared" si="11"/>
        <v>กากคาโนล่า</v>
      </c>
      <c r="AM93" s="155">
        <f t="shared" si="12"/>
        <v>15</v>
      </c>
      <c r="AN93" s="223"/>
      <c r="AO93" s="223"/>
      <c r="AP93" s="223"/>
      <c r="AQ93" s="223"/>
      <c r="AR93" s="223"/>
      <c r="AS93" s="223"/>
      <c r="AT93" s="223"/>
      <c r="AU93" s="223"/>
      <c r="AV93" s="223"/>
      <c r="AW93" s="223"/>
      <c r="AX93" s="223"/>
      <c r="AY93" s="223"/>
      <c r="AZ93" s="35" t="s">
        <v>215</v>
      </c>
      <c r="BA93" s="4"/>
      <c r="BB93" s="4"/>
      <c r="BC93" s="4"/>
      <c r="BD93" s="4"/>
      <c r="BE93" s="4"/>
      <c r="BF93" s="2"/>
    </row>
    <row r="94" spans="1:58">
      <c r="A94" s="85"/>
      <c r="B94" s="230"/>
      <c r="C94" s="121"/>
      <c r="D94" s="121"/>
      <c r="E94" s="121"/>
      <c r="F94" s="121"/>
      <c r="G94" s="121"/>
      <c r="H94" s="17"/>
      <c r="I94" s="25"/>
      <c r="J94" s="17"/>
      <c r="K94" s="17" t="s">
        <v>103</v>
      </c>
      <c r="L94" s="17"/>
      <c r="M94" s="17"/>
      <c r="N94" s="185">
        <f>N92*N93</f>
        <v>10000</v>
      </c>
      <c r="O94" s="17" t="s">
        <v>30</v>
      </c>
      <c r="P94" s="17"/>
      <c r="Q94" s="24"/>
      <c r="R94" s="17"/>
      <c r="S94" s="25"/>
      <c r="T94" s="18"/>
      <c r="U94" s="189" t="s">
        <v>214</v>
      </c>
      <c r="V94" s="189"/>
      <c r="W94" s="189"/>
      <c r="X94" s="190">
        <v>50</v>
      </c>
      <c r="Y94" s="24" t="s">
        <v>30</v>
      </c>
      <c r="Z94" s="17"/>
      <c r="AA94" s="17"/>
      <c r="AB94" s="17"/>
      <c r="AC94" s="99"/>
      <c r="AD94" s="16"/>
      <c r="AE94" s="16"/>
      <c r="AF94" s="16"/>
      <c r="AG94" s="16"/>
      <c r="AH94" s="16"/>
      <c r="AI94" s="16"/>
      <c r="AJ94" s="177"/>
      <c r="AK94" s="17"/>
      <c r="AL94" s="85" t="str">
        <f t="shared" si="11"/>
        <v>น้ำมันรำ</v>
      </c>
      <c r="AM94" s="155">
        <f t="shared" si="12"/>
        <v>25</v>
      </c>
      <c r="AN94" s="223"/>
      <c r="AO94" s="223">
        <v>1</v>
      </c>
      <c r="AP94" s="223">
        <v>1</v>
      </c>
      <c r="AQ94" s="223">
        <v>1</v>
      </c>
      <c r="AR94" s="223">
        <v>1</v>
      </c>
      <c r="AS94" s="223">
        <v>1</v>
      </c>
      <c r="AT94" s="223">
        <v>2</v>
      </c>
      <c r="AU94" s="223">
        <v>0.5</v>
      </c>
      <c r="AV94" s="223">
        <v>1</v>
      </c>
      <c r="AW94" s="223">
        <v>3</v>
      </c>
      <c r="AX94" s="223">
        <v>1</v>
      </c>
      <c r="AY94" s="223">
        <v>1</v>
      </c>
      <c r="AZ94" s="17"/>
      <c r="BA94" s="4"/>
      <c r="BB94" s="4"/>
      <c r="BC94" s="4"/>
      <c r="BD94" s="4"/>
      <c r="BE94" s="4"/>
      <c r="BF94" s="2"/>
    </row>
    <row r="95" spans="1:58">
      <c r="A95" s="85"/>
      <c r="B95" s="230"/>
      <c r="C95" s="121"/>
      <c r="D95" s="121"/>
      <c r="E95" s="121"/>
      <c r="F95" s="121"/>
      <c r="G95" s="121"/>
      <c r="H95" s="17"/>
      <c r="I95" s="25"/>
      <c r="J95" s="17"/>
      <c r="K95" s="17"/>
      <c r="L95" s="17"/>
      <c r="M95" s="17"/>
      <c r="N95" s="17"/>
      <c r="O95" s="17"/>
      <c r="P95" s="17"/>
      <c r="Q95" s="24"/>
      <c r="R95" s="17"/>
      <c r="S95" s="25"/>
      <c r="T95" s="18"/>
      <c r="U95" s="189" t="s">
        <v>209</v>
      </c>
      <c r="V95" s="189"/>
      <c r="W95" s="189"/>
      <c r="X95" s="190"/>
      <c r="Y95" s="24" t="s">
        <v>30</v>
      </c>
      <c r="Z95" s="17"/>
      <c r="AA95" s="17"/>
      <c r="AB95" s="17"/>
      <c r="AC95" s="99"/>
      <c r="AD95" s="16"/>
      <c r="AE95" s="16"/>
      <c r="AF95" s="16"/>
      <c r="AG95" s="16"/>
      <c r="AH95" s="16"/>
      <c r="AI95" s="16"/>
      <c r="AJ95" s="177"/>
      <c r="AK95" s="17"/>
      <c r="AL95" s="85" t="str">
        <f t="shared" ref="AL95:AM102" si="13">AC22</f>
        <v>เปลือกหอย/หินปูน</v>
      </c>
      <c r="AM95" s="155">
        <f t="shared" si="13"/>
        <v>2.5</v>
      </c>
      <c r="AN95" s="223">
        <v>0.2</v>
      </c>
      <c r="AO95" s="223">
        <v>0.3</v>
      </c>
      <c r="AP95" s="223"/>
      <c r="AQ95" s="223"/>
      <c r="AR95" s="223"/>
      <c r="AS95" s="223"/>
      <c r="AT95" s="223"/>
      <c r="AU95" s="223"/>
      <c r="AV95" s="223">
        <v>0.3</v>
      </c>
      <c r="AW95" s="223"/>
      <c r="AX95" s="223"/>
      <c r="AY95" s="223">
        <v>0.2</v>
      </c>
      <c r="AZ95" s="17"/>
      <c r="BA95" s="4"/>
      <c r="BB95" s="4"/>
      <c r="BC95" s="4"/>
      <c r="BD95" s="4"/>
      <c r="BE95" s="4"/>
      <c r="BF95" s="2"/>
    </row>
    <row r="96" spans="1:58">
      <c r="A96" s="85"/>
      <c r="B96" s="230"/>
      <c r="C96" s="121"/>
      <c r="D96" s="121"/>
      <c r="E96" s="121"/>
      <c r="F96" s="121"/>
      <c r="G96" s="121"/>
      <c r="H96" s="17"/>
      <c r="I96" s="25"/>
      <c r="J96" s="17"/>
      <c r="K96" s="17" t="s">
        <v>104</v>
      </c>
      <c r="L96" s="17"/>
      <c r="M96" s="175"/>
      <c r="N96" s="175">
        <f>O65</f>
        <v>2706</v>
      </c>
      <c r="O96" s="17" t="s">
        <v>77</v>
      </c>
      <c r="P96" s="17"/>
      <c r="Q96" s="24"/>
      <c r="R96" s="17"/>
      <c r="S96" s="25"/>
      <c r="T96" s="18"/>
      <c r="U96" s="189" t="s">
        <v>209</v>
      </c>
      <c r="V96" s="189"/>
      <c r="W96" s="189"/>
      <c r="X96" s="190"/>
      <c r="Y96" s="24" t="s">
        <v>30</v>
      </c>
      <c r="Z96" s="225" t="s">
        <v>215</v>
      </c>
      <c r="AA96" s="17"/>
      <c r="AB96" s="17"/>
      <c r="AC96" s="99"/>
      <c r="AD96" s="16"/>
      <c r="AE96" s="16"/>
      <c r="AF96" s="16"/>
      <c r="AG96" s="16"/>
      <c r="AH96" s="16"/>
      <c r="AI96" s="16"/>
      <c r="AJ96" s="177"/>
      <c r="AK96" s="17"/>
      <c r="AL96" s="85" t="str">
        <f t="shared" si="13"/>
        <v>ไดแคลเซี่ยมฟอสเฟต</v>
      </c>
      <c r="AM96" s="155">
        <f t="shared" si="13"/>
        <v>13</v>
      </c>
      <c r="AN96" s="223">
        <v>3</v>
      </c>
      <c r="AO96" s="223">
        <v>3</v>
      </c>
      <c r="AP96" s="223">
        <v>3.2</v>
      </c>
      <c r="AQ96" s="223">
        <v>3.2</v>
      </c>
      <c r="AR96" s="223">
        <v>3.2</v>
      </c>
      <c r="AS96" s="223">
        <v>3.2</v>
      </c>
      <c r="AT96" s="223">
        <v>3.2</v>
      </c>
      <c r="AU96" s="223">
        <v>3.1</v>
      </c>
      <c r="AV96" s="223">
        <v>2.9</v>
      </c>
      <c r="AW96" s="223">
        <v>3.1</v>
      </c>
      <c r="AX96" s="223">
        <v>3.2</v>
      </c>
      <c r="AY96" s="223">
        <v>3</v>
      </c>
      <c r="AZ96" s="17"/>
      <c r="BA96" s="4"/>
      <c r="BB96" s="4"/>
      <c r="BC96" s="4"/>
      <c r="BD96" s="4"/>
      <c r="BE96" s="4"/>
      <c r="BF96" s="2"/>
    </row>
    <row r="97" spans="1:58">
      <c r="A97" s="85"/>
      <c r="B97" s="230"/>
      <c r="C97" s="121"/>
      <c r="D97" s="121"/>
      <c r="E97" s="121"/>
      <c r="F97" s="121"/>
      <c r="G97" s="121"/>
      <c r="H97" s="17"/>
      <c r="I97" s="25"/>
      <c r="J97" s="17"/>
      <c r="K97" s="17"/>
      <c r="L97" s="17"/>
      <c r="M97" s="17"/>
      <c r="N97" s="17"/>
      <c r="O97" s="17"/>
      <c r="P97" s="17"/>
      <c r="Q97" s="24"/>
      <c r="R97" s="17"/>
      <c r="S97" s="25"/>
      <c r="T97" s="18"/>
      <c r="U97" s="18"/>
      <c r="V97" s="18"/>
      <c r="W97" s="18" t="s">
        <v>59</v>
      </c>
      <c r="X97" s="78">
        <f>SUM(X93:X96)</f>
        <v>100</v>
      </c>
      <c r="Y97" s="24" t="s">
        <v>30</v>
      </c>
      <c r="Z97" s="17"/>
      <c r="AA97" s="17"/>
      <c r="AB97" s="17"/>
      <c r="AC97" s="99"/>
      <c r="AD97" s="16"/>
      <c r="AE97" s="16"/>
      <c r="AF97" s="16"/>
      <c r="AG97" s="16"/>
      <c r="AH97" s="16"/>
      <c r="AI97" s="16"/>
      <c r="AJ97" s="177"/>
      <c r="AK97" s="17"/>
      <c r="AL97" s="85" t="str">
        <f t="shared" si="13"/>
        <v>โมโนแคลเซี่ยมฟอสเฟต</v>
      </c>
      <c r="AM97" s="155">
        <f t="shared" si="13"/>
        <v>18</v>
      </c>
      <c r="AN97" s="223"/>
      <c r="AO97" s="223"/>
      <c r="AP97" s="223"/>
      <c r="AQ97" s="223"/>
      <c r="AR97" s="223"/>
      <c r="AS97" s="223"/>
      <c r="AT97" s="223"/>
      <c r="AU97" s="223"/>
      <c r="AV97" s="223"/>
      <c r="AW97" s="223"/>
      <c r="AX97" s="223"/>
      <c r="AY97" s="223"/>
      <c r="AZ97" s="17"/>
      <c r="BA97" s="4"/>
      <c r="BB97" s="4"/>
      <c r="BC97" s="4"/>
      <c r="BD97" s="4"/>
      <c r="BE97" s="4"/>
      <c r="BF97" s="2"/>
    </row>
    <row r="98" spans="1:58" ht="15">
      <c r="A98" s="85"/>
      <c r="B98" s="230"/>
      <c r="C98" s="121"/>
      <c r="D98" s="121"/>
      <c r="E98" s="121"/>
      <c r="F98" s="121"/>
      <c r="G98" s="121"/>
      <c r="H98" s="17"/>
      <c r="I98" s="25"/>
      <c r="J98" s="83" t="s">
        <v>107</v>
      </c>
      <c r="K98" s="83"/>
      <c r="L98" s="145">
        <f>N94/N96</f>
        <v>3.695491500369549</v>
      </c>
      <c r="M98" s="83" t="s">
        <v>30</v>
      </c>
      <c r="N98" s="17"/>
      <c r="O98" s="17"/>
      <c r="P98" s="35" t="s">
        <v>215</v>
      </c>
      <c r="Q98" s="24"/>
      <c r="R98" s="17"/>
      <c r="S98" s="25"/>
      <c r="T98" s="18"/>
      <c r="U98" s="18"/>
      <c r="V98" s="18"/>
      <c r="W98" s="18"/>
      <c r="X98" s="18"/>
      <c r="Y98" s="24"/>
      <c r="Z98" s="17"/>
      <c r="AA98" s="17"/>
      <c r="AB98" s="17"/>
      <c r="AC98" s="99"/>
      <c r="AD98" s="16"/>
      <c r="AE98" s="16"/>
      <c r="AF98" s="16"/>
      <c r="AG98" s="16"/>
      <c r="AH98" s="16"/>
      <c r="AI98" s="16"/>
      <c r="AJ98" s="177"/>
      <c r="AK98" s="17"/>
      <c r="AL98" s="85" t="str">
        <f t="shared" si="13"/>
        <v>เกลือ</v>
      </c>
      <c r="AM98" s="155">
        <f t="shared" si="13"/>
        <v>1.5</v>
      </c>
      <c r="AN98" s="223">
        <v>0.35</v>
      </c>
      <c r="AO98" s="223">
        <v>0.35</v>
      </c>
      <c r="AP98" s="223">
        <v>0.35</v>
      </c>
      <c r="AQ98" s="223">
        <v>0.35</v>
      </c>
      <c r="AR98" s="223">
        <v>0.35</v>
      </c>
      <c r="AS98" s="223">
        <v>0.35</v>
      </c>
      <c r="AT98" s="223">
        <v>0.35</v>
      </c>
      <c r="AU98" s="223">
        <v>0.35</v>
      </c>
      <c r="AV98" s="223">
        <v>0.35</v>
      </c>
      <c r="AW98" s="223">
        <v>0.35</v>
      </c>
      <c r="AX98" s="223">
        <v>0.35</v>
      </c>
      <c r="AY98" s="223">
        <v>0.35</v>
      </c>
      <c r="AZ98" s="17"/>
      <c r="BA98" s="4"/>
      <c r="BB98" s="4"/>
      <c r="BC98" s="4"/>
      <c r="BD98" s="4"/>
      <c r="BE98" s="4"/>
      <c r="BF98" s="2"/>
    </row>
    <row r="99" spans="1:58" ht="15.75">
      <c r="A99" s="18"/>
      <c r="B99" s="94"/>
      <c r="C99" s="17"/>
      <c r="D99" s="17"/>
      <c r="E99" s="17"/>
      <c r="F99" s="17"/>
      <c r="G99" s="17"/>
      <c r="H99" s="17"/>
      <c r="I99" s="30"/>
      <c r="J99" s="31"/>
      <c r="K99" s="31"/>
      <c r="L99" s="31"/>
      <c r="M99" s="31"/>
      <c r="N99" s="31"/>
      <c r="O99" s="31"/>
      <c r="P99" s="31"/>
      <c r="Q99" s="32"/>
      <c r="R99" s="17"/>
      <c r="S99" s="25"/>
      <c r="T99" s="18" t="s">
        <v>213</v>
      </c>
      <c r="U99" s="18"/>
      <c r="V99" s="18"/>
      <c r="W99" s="18"/>
      <c r="X99" s="18"/>
      <c r="Y99" s="24"/>
      <c r="Z99" s="17"/>
      <c r="AA99" s="17"/>
      <c r="AB99" s="17"/>
      <c r="AC99" s="99"/>
      <c r="AD99" s="16"/>
      <c r="AE99" s="16"/>
      <c r="AF99" s="16"/>
      <c r="AG99" s="16"/>
      <c r="AH99" s="16"/>
      <c r="AI99" s="16"/>
      <c r="AJ99" s="177"/>
      <c r="AK99" s="17"/>
      <c r="AL99" s="85" t="str">
        <f t="shared" si="13"/>
        <v>แอล-ไลซีน</v>
      </c>
      <c r="AM99" s="155">
        <f t="shared" si="13"/>
        <v>80</v>
      </c>
      <c r="AN99" s="223">
        <v>0.15</v>
      </c>
      <c r="AO99" s="223">
        <v>0.15</v>
      </c>
      <c r="AP99" s="223">
        <v>0.05</v>
      </c>
      <c r="AQ99" s="223">
        <v>0.05</v>
      </c>
      <c r="AR99" s="223">
        <v>0.15</v>
      </c>
      <c r="AS99" s="223">
        <v>0.05</v>
      </c>
      <c r="AT99" s="223">
        <v>0.05</v>
      </c>
      <c r="AU99" s="223">
        <v>0.15</v>
      </c>
      <c r="AV99" s="223">
        <v>0.35</v>
      </c>
      <c r="AW99" s="223">
        <v>0.2</v>
      </c>
      <c r="AX99" s="223">
        <v>0.15</v>
      </c>
      <c r="AY99" s="223">
        <v>0.25</v>
      </c>
      <c r="AZ99" s="17"/>
      <c r="BA99" s="4"/>
      <c r="BB99" s="4"/>
      <c r="BC99" s="4"/>
      <c r="BD99" s="4"/>
      <c r="BE99" s="4"/>
      <c r="BF99" s="2"/>
    </row>
    <row r="100" spans="1:58">
      <c r="A100" s="17"/>
      <c r="B100" s="94"/>
      <c r="C100" s="17"/>
      <c r="D100" s="17"/>
      <c r="E100" s="17"/>
      <c r="F100" s="17"/>
      <c r="G100" s="17"/>
      <c r="H100" s="17"/>
      <c r="I100" s="192">
        <v>1.1000000000000001</v>
      </c>
      <c r="J100" s="37" t="s">
        <v>108</v>
      </c>
      <c r="K100" s="37"/>
      <c r="L100" s="17"/>
      <c r="M100" s="17"/>
      <c r="N100" s="17"/>
      <c r="O100" s="17"/>
      <c r="P100" s="17"/>
      <c r="Q100" s="24"/>
      <c r="R100" s="17"/>
      <c r="S100" s="25"/>
      <c r="T100" s="18"/>
      <c r="U100" s="189" t="s">
        <v>208</v>
      </c>
      <c r="V100" s="189"/>
      <c r="W100" s="189"/>
      <c r="X100" s="190">
        <v>20</v>
      </c>
      <c r="Y100" s="24" t="s">
        <v>30</v>
      </c>
      <c r="Z100" s="17"/>
      <c r="AA100" s="17"/>
      <c r="AB100" s="17"/>
      <c r="AC100" s="99"/>
      <c r="AD100" s="16"/>
      <c r="AE100" s="16"/>
      <c r="AF100" s="16"/>
      <c r="AG100" s="16"/>
      <c r="AH100" s="16"/>
      <c r="AI100" s="16"/>
      <c r="AJ100" s="177"/>
      <c r="AK100" s="17"/>
      <c r="AL100" s="85" t="str">
        <f t="shared" si="13"/>
        <v>ดีแอล-เมทไธโอนีน</v>
      </c>
      <c r="AM100" s="155">
        <f t="shared" si="13"/>
        <v>130</v>
      </c>
      <c r="AN100" s="223">
        <v>0.1</v>
      </c>
      <c r="AO100" s="223">
        <v>0.1</v>
      </c>
      <c r="AP100" s="223">
        <v>0.15</v>
      </c>
      <c r="AQ100" s="223">
        <v>0.2</v>
      </c>
      <c r="AR100" s="223">
        <v>0.1</v>
      </c>
      <c r="AS100" s="223">
        <v>0.2</v>
      </c>
      <c r="AT100" s="223">
        <v>0.2</v>
      </c>
      <c r="AU100" s="223">
        <v>0.2</v>
      </c>
      <c r="AV100" s="223">
        <v>0.1</v>
      </c>
      <c r="AW100" s="223">
        <v>0.1</v>
      </c>
      <c r="AX100" s="223">
        <v>0.15</v>
      </c>
      <c r="AY100" s="223">
        <v>0.15</v>
      </c>
      <c r="AZ100" s="17"/>
      <c r="BA100" s="4"/>
      <c r="BB100" s="4"/>
      <c r="BC100" s="4"/>
      <c r="BD100" s="4"/>
      <c r="BE100" s="2"/>
    </row>
    <row r="101" spans="1:58" ht="15">
      <c r="A101" s="17"/>
      <c r="B101" s="94"/>
      <c r="C101" s="17"/>
      <c r="D101" s="17"/>
      <c r="E101" s="17"/>
      <c r="F101" s="17"/>
      <c r="G101" s="17"/>
      <c r="H101" s="17"/>
      <c r="I101" s="25"/>
      <c r="J101" s="17"/>
      <c r="K101" s="17"/>
      <c r="L101" s="17"/>
      <c r="M101" s="17"/>
      <c r="N101" s="17"/>
      <c r="O101" s="17"/>
      <c r="P101" s="17"/>
      <c r="Q101" s="24"/>
      <c r="R101" s="17"/>
      <c r="S101" s="25"/>
      <c r="T101" s="18"/>
      <c r="U101" s="189" t="s">
        <v>208</v>
      </c>
      <c r="V101" s="189"/>
      <c r="W101" s="189"/>
      <c r="X101" s="190">
        <v>20</v>
      </c>
      <c r="Y101" s="24" t="s">
        <v>30</v>
      </c>
      <c r="Z101" s="17"/>
      <c r="AA101" s="17"/>
      <c r="AB101" s="17"/>
      <c r="AC101" s="99"/>
      <c r="AD101" s="16"/>
      <c r="AE101" s="16"/>
      <c r="AF101" s="16"/>
      <c r="AG101" s="16"/>
      <c r="AH101" s="16"/>
      <c r="AI101" s="16"/>
      <c r="AJ101" s="177"/>
      <c r="AK101" s="17"/>
      <c r="AL101" s="85" t="str">
        <f t="shared" si="13"/>
        <v>แอล-ทรีโอนีน</v>
      </c>
      <c r="AM101" s="155">
        <f t="shared" si="13"/>
        <v>130</v>
      </c>
      <c r="AN101" s="223"/>
      <c r="AO101" s="223"/>
      <c r="AP101" s="223"/>
      <c r="AQ101" s="223"/>
      <c r="AR101" s="223"/>
      <c r="AS101" s="223"/>
      <c r="AT101" s="223"/>
      <c r="AU101" s="223"/>
      <c r="AV101" s="223"/>
      <c r="AW101" s="223"/>
      <c r="AX101" s="223"/>
      <c r="AY101" s="223"/>
      <c r="AZ101" s="35"/>
      <c r="BA101" s="4"/>
      <c r="BB101" s="4"/>
      <c r="BC101" s="4"/>
      <c r="BD101" s="4"/>
      <c r="BE101" s="2"/>
    </row>
    <row r="102" spans="1:58">
      <c r="A102" s="17"/>
      <c r="B102" s="94"/>
      <c r="C102" s="17"/>
      <c r="D102" s="17"/>
      <c r="E102" s="17"/>
      <c r="F102" s="17"/>
      <c r="G102" s="17"/>
      <c r="H102" s="17"/>
      <c r="I102" s="25"/>
      <c r="J102" s="17" t="s">
        <v>108</v>
      </c>
      <c r="K102" s="17"/>
      <c r="L102" s="17"/>
      <c r="M102" s="126">
        <v>1800</v>
      </c>
      <c r="N102" s="17" t="s">
        <v>109</v>
      </c>
      <c r="O102" s="17"/>
      <c r="P102" s="17"/>
      <c r="Q102" s="24"/>
      <c r="R102" s="17"/>
      <c r="S102" s="25"/>
      <c r="T102" s="18"/>
      <c r="U102" s="189" t="s">
        <v>208</v>
      </c>
      <c r="V102" s="189"/>
      <c r="W102" s="189"/>
      <c r="X102" s="190"/>
      <c r="Y102" s="24" t="s">
        <v>30</v>
      </c>
      <c r="Z102" s="17"/>
      <c r="AA102" s="17"/>
      <c r="AB102" s="17"/>
      <c r="AC102" s="99"/>
      <c r="AD102" s="16"/>
      <c r="AE102" s="16"/>
      <c r="AF102" s="16"/>
      <c r="AG102" s="16"/>
      <c r="AH102" s="16"/>
      <c r="AI102" s="16"/>
      <c r="AJ102" s="177"/>
      <c r="AK102" s="17"/>
      <c r="AL102" s="85" t="str">
        <f t="shared" si="13"/>
        <v>พรีมิกซ์</v>
      </c>
      <c r="AM102" s="155">
        <f t="shared" si="13"/>
        <v>50</v>
      </c>
      <c r="AN102" s="223">
        <v>0.25</v>
      </c>
      <c r="AO102" s="223">
        <v>0.25</v>
      </c>
      <c r="AP102" s="223">
        <v>0.25</v>
      </c>
      <c r="AQ102" s="223">
        <v>0.25</v>
      </c>
      <c r="AR102" s="223">
        <v>0.25</v>
      </c>
      <c r="AS102" s="223">
        <v>0.25</v>
      </c>
      <c r="AT102" s="223">
        <v>0.25</v>
      </c>
      <c r="AU102" s="223">
        <v>0.25</v>
      </c>
      <c r="AV102" s="223">
        <v>0.25</v>
      </c>
      <c r="AW102" s="223">
        <v>0.25</v>
      </c>
      <c r="AX102" s="223">
        <v>0.25</v>
      </c>
      <c r="AY102" s="223">
        <v>0.25</v>
      </c>
      <c r="AZ102" s="17"/>
      <c r="BA102" s="4"/>
      <c r="BB102" s="4"/>
      <c r="BC102" s="4"/>
      <c r="BD102" s="4"/>
      <c r="BE102" s="2"/>
    </row>
    <row r="103" spans="1:58">
      <c r="A103" s="17"/>
      <c r="B103" s="94"/>
      <c r="C103" s="17"/>
      <c r="D103" s="17"/>
      <c r="E103" s="17"/>
      <c r="F103" s="17"/>
      <c r="G103" s="17"/>
      <c r="H103" s="17"/>
      <c r="I103" s="25"/>
      <c r="J103" s="17"/>
      <c r="K103" s="17"/>
      <c r="L103" s="17"/>
      <c r="M103" s="86"/>
      <c r="N103" s="17"/>
      <c r="O103" s="17"/>
      <c r="P103" s="17"/>
      <c r="Q103" s="24"/>
      <c r="R103" s="17"/>
      <c r="S103" s="25"/>
      <c r="T103" s="18"/>
      <c r="U103" s="189" t="s">
        <v>208</v>
      </c>
      <c r="V103" s="189"/>
      <c r="W103" s="189"/>
      <c r="X103" s="190"/>
      <c r="Y103" s="24" t="s">
        <v>30</v>
      </c>
      <c r="Z103" s="17"/>
      <c r="AA103" s="17"/>
      <c r="AB103" s="17"/>
      <c r="AC103" s="99"/>
      <c r="AD103" s="16"/>
      <c r="AE103" s="16"/>
      <c r="AF103" s="16"/>
      <c r="AG103" s="16"/>
      <c r="AH103" s="16"/>
      <c r="AI103" s="16"/>
      <c r="AJ103" s="177"/>
      <c r="AK103" s="17"/>
      <c r="AL103" s="176" t="s">
        <v>59</v>
      </c>
      <c r="AM103" s="176"/>
      <c r="AN103" s="159">
        <f t="shared" ref="AN103:AY103" si="14">SUM(AN81:AN102)</f>
        <v>100</v>
      </c>
      <c r="AO103" s="159">
        <f t="shared" si="14"/>
        <v>99.999999999999986</v>
      </c>
      <c r="AP103" s="159">
        <f t="shared" si="14"/>
        <v>100</v>
      </c>
      <c r="AQ103" s="159">
        <f t="shared" si="14"/>
        <v>100</v>
      </c>
      <c r="AR103" s="159">
        <f t="shared" si="14"/>
        <v>100</v>
      </c>
      <c r="AS103" s="159">
        <f t="shared" si="14"/>
        <v>100</v>
      </c>
      <c r="AT103" s="159">
        <f t="shared" si="14"/>
        <v>100</v>
      </c>
      <c r="AU103" s="159">
        <f t="shared" si="14"/>
        <v>100</v>
      </c>
      <c r="AV103" s="159">
        <f t="shared" si="14"/>
        <v>99.999999999999986</v>
      </c>
      <c r="AW103" s="159">
        <f t="shared" si="14"/>
        <v>99.999999999999986</v>
      </c>
      <c r="AX103" s="159">
        <f t="shared" si="14"/>
        <v>100.00000000000001</v>
      </c>
      <c r="AY103" s="159">
        <f t="shared" si="14"/>
        <v>100</v>
      </c>
      <c r="AZ103" s="17"/>
      <c r="BA103" s="4"/>
      <c r="BB103" s="4"/>
      <c r="BC103" s="4"/>
      <c r="BD103" s="4"/>
      <c r="BE103" s="2"/>
    </row>
    <row r="104" spans="1:58">
      <c r="A104" s="17"/>
      <c r="B104" s="94"/>
      <c r="C104" s="17"/>
      <c r="D104" s="17"/>
      <c r="E104" s="17"/>
      <c r="F104" s="17"/>
      <c r="G104" s="17"/>
      <c r="H104" s="17"/>
      <c r="I104" s="25"/>
      <c r="J104" s="17" t="s">
        <v>110</v>
      </c>
      <c r="K104" s="17"/>
      <c r="L104" s="17"/>
      <c r="M104" s="86">
        <f>M12</f>
        <v>18.04</v>
      </c>
      <c r="N104" s="17" t="s">
        <v>77</v>
      </c>
      <c r="O104" s="17"/>
      <c r="P104" s="17"/>
      <c r="Q104" s="24"/>
      <c r="R104" s="17"/>
      <c r="S104" s="25"/>
      <c r="T104" s="18"/>
      <c r="U104" s="18"/>
      <c r="V104" s="18"/>
      <c r="W104" s="18" t="s">
        <v>59</v>
      </c>
      <c r="X104" s="78">
        <f>SUM(X100:X103)</f>
        <v>40</v>
      </c>
      <c r="Y104" s="24" t="s">
        <v>30</v>
      </c>
      <c r="Z104" s="17"/>
      <c r="AA104" s="17"/>
      <c r="AB104" s="17"/>
      <c r="AC104" s="99"/>
      <c r="AD104" s="16"/>
      <c r="AE104" s="16"/>
      <c r="AF104" s="16"/>
      <c r="AG104" s="16"/>
      <c r="AH104" s="16"/>
      <c r="AI104" s="16"/>
      <c r="AJ104" s="177"/>
      <c r="AK104" s="17"/>
      <c r="AL104" s="176" t="s">
        <v>284</v>
      </c>
      <c r="AM104" s="176"/>
      <c r="AN104" s="15">
        <f t="shared" ref="AN104:AY104" si="15">($AM81*AN81+$AM82*AN82+$AM83*AN83+$AM84*AN84+$AM85*AN85+$AM86*AN86+$AM87*AN87+$AM88*AN88+$AM89*AN89+$AM90*AN90+$AM91*AN91+$AM92*AN92+$AM93*AN93+$AM94*AN94+$AM96*AN96+$AM97*AN97+$AM98*AN98+$AM99*AN99+$AM100*AN100+$AM101*AN101+$AM102*AN102)/AN103</f>
        <v>11.747850000000001</v>
      </c>
      <c r="AO104" s="15">
        <f t="shared" si="15"/>
        <v>11.261050000000003</v>
      </c>
      <c r="AP104" s="15">
        <f t="shared" si="15"/>
        <v>11.207249999999998</v>
      </c>
      <c r="AQ104" s="15">
        <f t="shared" si="15"/>
        <v>11.1775</v>
      </c>
      <c r="AR104" s="15">
        <f t="shared" si="15"/>
        <v>11.335850000000001</v>
      </c>
      <c r="AS104" s="15">
        <f t="shared" si="15"/>
        <v>11.2125</v>
      </c>
      <c r="AT104" s="15">
        <f t="shared" si="15"/>
        <v>11.342499999999999</v>
      </c>
      <c r="AU104" s="15">
        <f t="shared" si="15"/>
        <v>10.9595</v>
      </c>
      <c r="AV104" s="15">
        <f t="shared" si="15"/>
        <v>11.185250000000002</v>
      </c>
      <c r="AW104" s="15">
        <f t="shared" si="15"/>
        <v>11.628250000000001</v>
      </c>
      <c r="AX104" s="15">
        <f t="shared" si="15"/>
        <v>11.154449999999997</v>
      </c>
      <c r="AY104" s="15">
        <f t="shared" si="15"/>
        <v>11.089650000000001</v>
      </c>
      <c r="AZ104" s="17"/>
      <c r="BA104" s="4"/>
      <c r="BB104" s="4"/>
      <c r="BC104" s="4"/>
      <c r="BD104" s="4"/>
      <c r="BE104" s="2"/>
    </row>
    <row r="105" spans="1:58">
      <c r="A105" s="17"/>
      <c r="B105" s="94"/>
      <c r="C105" s="17"/>
      <c r="D105" s="17"/>
      <c r="E105" s="17"/>
      <c r="F105" s="17"/>
      <c r="G105" s="17"/>
      <c r="H105" s="17"/>
      <c r="I105" s="25"/>
      <c r="J105" s="17"/>
      <c r="K105" s="17"/>
      <c r="L105" s="17"/>
      <c r="M105" s="86"/>
      <c r="N105" s="17"/>
      <c r="O105" s="17"/>
      <c r="P105" s="17"/>
      <c r="Q105" s="24"/>
      <c r="R105" s="17"/>
      <c r="S105" s="30"/>
      <c r="T105" s="48" t="s">
        <v>215</v>
      </c>
      <c r="U105" s="31"/>
      <c r="V105" s="31"/>
      <c r="W105" s="31"/>
      <c r="X105" s="31"/>
      <c r="Y105" s="32"/>
      <c r="Z105" s="17"/>
      <c r="AA105" s="17"/>
      <c r="AB105" s="17"/>
      <c r="AC105" s="99"/>
      <c r="AD105" s="16"/>
      <c r="AE105" s="16"/>
      <c r="AF105" s="16"/>
      <c r="AG105" s="16"/>
      <c r="AH105" s="16"/>
      <c r="AI105" s="16"/>
      <c r="AJ105" s="177"/>
      <c r="AK105" s="17"/>
      <c r="AL105" s="17"/>
      <c r="AM105" s="17"/>
      <c r="AN105" s="17"/>
      <c r="AO105" s="225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4"/>
      <c r="BB105" s="4"/>
      <c r="BC105" s="4"/>
      <c r="BD105" s="4"/>
      <c r="BE105" s="2"/>
    </row>
    <row r="106" spans="1:58" ht="15">
      <c r="A106" s="17"/>
      <c r="B106" s="94"/>
      <c r="C106" s="17"/>
      <c r="D106" s="17"/>
      <c r="E106" s="17"/>
      <c r="F106" s="17"/>
      <c r="G106" s="17"/>
      <c r="H106" s="17"/>
      <c r="I106" s="25"/>
      <c r="J106" s="83" t="s">
        <v>111</v>
      </c>
      <c r="K106" s="83"/>
      <c r="L106" s="83"/>
      <c r="M106" s="69">
        <f>M102/M104</f>
        <v>99.77827050997783</v>
      </c>
      <c r="N106" s="83" t="s">
        <v>30</v>
      </c>
      <c r="O106" s="17"/>
      <c r="P106" s="35" t="s">
        <v>215</v>
      </c>
      <c r="Q106" s="24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99"/>
      <c r="AD106" s="16"/>
      <c r="AE106" s="16"/>
      <c r="AF106" s="16"/>
      <c r="AG106" s="16"/>
      <c r="AH106" s="16"/>
      <c r="AI106" s="16"/>
      <c r="AJ106" s="17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34"/>
      <c r="BA106" s="4"/>
      <c r="BB106" s="4"/>
      <c r="BC106" s="4"/>
      <c r="BD106" s="4"/>
      <c r="BE106" s="2"/>
    </row>
    <row r="107" spans="1:58">
      <c r="A107" s="17"/>
      <c r="B107" s="94"/>
      <c r="C107" s="17"/>
      <c r="D107" s="17"/>
      <c r="E107" s="17"/>
      <c r="F107" s="17"/>
      <c r="G107" s="17"/>
      <c r="H107" s="17"/>
      <c r="I107" s="30"/>
      <c r="J107" s="31"/>
      <c r="K107" s="31"/>
      <c r="L107" s="31"/>
      <c r="M107" s="31"/>
      <c r="N107" s="31"/>
      <c r="O107" s="31"/>
      <c r="P107" s="31"/>
      <c r="Q107" s="32"/>
      <c r="R107" s="17"/>
      <c r="S107" s="17"/>
      <c r="T107" s="17"/>
      <c r="U107" s="17"/>
      <c r="V107" s="225"/>
      <c r="W107" s="17"/>
      <c r="X107" s="17"/>
      <c r="Y107" s="17"/>
      <c r="Z107" s="17"/>
      <c r="AA107" s="17"/>
      <c r="AB107" s="17"/>
      <c r="AC107" s="99"/>
      <c r="AD107" s="16"/>
      <c r="AE107" s="16"/>
      <c r="AF107" s="16"/>
      <c r="AG107" s="16"/>
      <c r="AH107" s="16"/>
      <c r="AI107" s="16"/>
      <c r="AJ107" s="177"/>
      <c r="AK107" s="17"/>
      <c r="AL107" s="77"/>
      <c r="AM107" s="41" t="s">
        <v>188</v>
      </c>
      <c r="AN107" s="232" t="s">
        <v>223</v>
      </c>
      <c r="AO107" s="233"/>
      <c r="AP107" s="233"/>
      <c r="AQ107" s="233"/>
      <c r="AR107" s="233"/>
      <c r="AS107" s="233"/>
      <c r="AT107" s="233"/>
      <c r="AU107" s="233"/>
      <c r="AV107" s="233"/>
      <c r="AW107" s="233"/>
      <c r="AX107" s="233"/>
      <c r="AY107" s="234"/>
      <c r="AZ107" s="17"/>
      <c r="BA107" s="4"/>
      <c r="BB107" s="4"/>
      <c r="BC107" s="4"/>
      <c r="BD107" s="4"/>
      <c r="BE107" s="2"/>
    </row>
    <row r="108" spans="1:58" ht="15">
      <c r="A108" s="17"/>
      <c r="B108" s="94"/>
      <c r="C108" s="17"/>
      <c r="D108" s="17"/>
      <c r="E108" s="17"/>
      <c r="F108" s="17"/>
      <c r="G108" s="17"/>
      <c r="H108" s="17"/>
      <c r="I108" s="36">
        <v>1.1100000000000001</v>
      </c>
      <c r="J108" s="37" t="s">
        <v>112</v>
      </c>
      <c r="K108" s="37"/>
      <c r="L108" s="17"/>
      <c r="M108" s="17"/>
      <c r="N108" s="17"/>
      <c r="O108" s="17"/>
      <c r="P108" s="17"/>
      <c r="Q108" s="24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99"/>
      <c r="AD108" s="16"/>
      <c r="AE108" s="16"/>
      <c r="AF108" s="16"/>
      <c r="AG108" s="16"/>
      <c r="AH108" s="16"/>
      <c r="AI108" s="16"/>
      <c r="AJ108" s="177"/>
      <c r="AK108" s="17"/>
      <c r="AL108" s="80"/>
      <c r="AM108" s="153" t="s">
        <v>120</v>
      </c>
      <c r="AN108" s="159">
        <v>1</v>
      </c>
      <c r="AO108" s="159">
        <v>2</v>
      </c>
      <c r="AP108" s="49">
        <v>3</v>
      </c>
      <c r="AQ108" s="227">
        <v>4</v>
      </c>
      <c r="AR108" s="227">
        <v>5</v>
      </c>
      <c r="AS108" s="228">
        <v>6</v>
      </c>
      <c r="AT108" s="227">
        <v>7</v>
      </c>
      <c r="AU108" s="227">
        <v>8</v>
      </c>
      <c r="AV108" s="228">
        <v>9</v>
      </c>
      <c r="AW108" s="227">
        <v>10</v>
      </c>
      <c r="AX108" s="227">
        <v>11</v>
      </c>
      <c r="AY108" s="228">
        <v>12</v>
      </c>
      <c r="AZ108" s="34" t="s">
        <v>302</v>
      </c>
      <c r="BA108" s="4"/>
      <c r="BB108" s="4"/>
      <c r="BC108" s="4"/>
      <c r="BD108" s="4"/>
      <c r="BE108" s="2"/>
    </row>
    <row r="109" spans="1:58">
      <c r="A109" s="17"/>
      <c r="B109" s="94"/>
      <c r="C109" s="17"/>
      <c r="D109" s="17"/>
      <c r="E109" s="17"/>
      <c r="F109" s="17"/>
      <c r="G109" s="17"/>
      <c r="H109" s="17"/>
      <c r="I109" s="25"/>
      <c r="J109" s="17"/>
      <c r="K109" s="17"/>
      <c r="L109" s="17"/>
      <c r="M109" s="17"/>
      <c r="N109" s="17"/>
      <c r="O109" s="17"/>
      <c r="P109" s="17"/>
      <c r="Q109" s="24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99"/>
      <c r="AD109" s="16"/>
      <c r="AE109" s="16"/>
      <c r="AF109" s="16"/>
      <c r="AG109" s="16"/>
      <c r="AH109" s="16"/>
      <c r="AI109" s="16"/>
      <c r="AJ109" s="177"/>
      <c r="AK109" s="17"/>
      <c r="AL109" s="85" t="str">
        <f>AC8</f>
        <v>ปลายข้าว</v>
      </c>
      <c r="AM109" s="155">
        <f>AD8</f>
        <v>12</v>
      </c>
      <c r="AN109" s="223"/>
      <c r="AO109" s="223"/>
      <c r="AP109" s="223"/>
      <c r="AQ109" s="223"/>
      <c r="AR109" s="223"/>
      <c r="AS109" s="223"/>
      <c r="AT109" s="223"/>
      <c r="AU109" s="223"/>
      <c r="AV109" s="223"/>
      <c r="AW109" s="223"/>
      <c r="AX109" s="223"/>
      <c r="AY109" s="223"/>
      <c r="AZ109" s="17"/>
      <c r="BA109" s="4"/>
      <c r="BB109" s="4"/>
      <c r="BC109" s="4"/>
      <c r="BD109" s="4"/>
      <c r="BE109" s="2"/>
    </row>
    <row r="110" spans="1:58" ht="15">
      <c r="A110" s="17"/>
      <c r="B110" s="94"/>
      <c r="C110" s="17"/>
      <c r="D110" s="17"/>
      <c r="E110" s="17"/>
      <c r="F110" s="17"/>
      <c r="G110" s="17"/>
      <c r="H110" s="17"/>
      <c r="I110" s="25"/>
      <c r="J110" s="17" t="s">
        <v>115</v>
      </c>
      <c r="K110" s="17"/>
      <c r="L110" s="17"/>
      <c r="M110" s="17">
        <v>228.9</v>
      </c>
      <c r="N110" s="17" t="s">
        <v>60</v>
      </c>
      <c r="O110" s="17"/>
      <c r="P110" s="17"/>
      <c r="Q110" s="24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93"/>
      <c r="AD110" s="147"/>
      <c r="AE110" s="147"/>
      <c r="AF110" s="147"/>
      <c r="AG110" s="147"/>
      <c r="AH110" s="147"/>
      <c r="AI110" s="147"/>
      <c r="AJ110" s="191"/>
      <c r="AK110" s="17"/>
      <c r="AL110" s="85" t="str">
        <f t="shared" ref="AL110:AL122" si="16">AC9</f>
        <v>ข้าวโพด</v>
      </c>
      <c r="AM110" s="155">
        <f t="shared" ref="AM110:AM122" si="17">AD9</f>
        <v>8.8000000000000007</v>
      </c>
      <c r="AN110" s="223">
        <v>53.8</v>
      </c>
      <c r="AO110" s="223">
        <v>24.9</v>
      </c>
      <c r="AP110" s="223"/>
      <c r="AQ110" s="223"/>
      <c r="AR110" s="223"/>
      <c r="AS110" s="223"/>
      <c r="AT110" s="223">
        <v>28.95</v>
      </c>
      <c r="AU110" s="223">
        <v>22.1</v>
      </c>
      <c r="AV110" s="223">
        <v>22.05</v>
      </c>
      <c r="AW110" s="223">
        <v>26</v>
      </c>
      <c r="AX110" s="223"/>
      <c r="AY110" s="223"/>
      <c r="AZ110" s="34" t="s">
        <v>300</v>
      </c>
      <c r="BA110" s="4"/>
      <c r="BB110" s="4"/>
      <c r="BC110" s="4"/>
      <c r="BD110" s="4"/>
      <c r="BE110" s="2"/>
    </row>
    <row r="111" spans="1:58">
      <c r="A111" s="17"/>
      <c r="B111" s="94"/>
      <c r="C111" s="17"/>
      <c r="D111" s="17"/>
      <c r="E111" s="17"/>
      <c r="F111" s="17"/>
      <c r="G111" s="17"/>
      <c r="H111" s="17"/>
      <c r="I111" s="25"/>
      <c r="J111" s="17" t="s">
        <v>113</v>
      </c>
      <c r="K111" s="17"/>
      <c r="L111" s="17"/>
      <c r="M111" s="194">
        <f>SUM(D18:D27)</f>
        <v>1594.5016249488176</v>
      </c>
      <c r="N111" s="17" t="s">
        <v>63</v>
      </c>
      <c r="O111" s="17" t="s">
        <v>13</v>
      </c>
      <c r="P111" s="17"/>
      <c r="Q111" s="24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85" t="str">
        <f t="shared" si="16"/>
        <v>มันสำปะหลัง</v>
      </c>
      <c r="AM111" s="155">
        <f t="shared" si="17"/>
        <v>7.5</v>
      </c>
      <c r="AN111" s="223"/>
      <c r="AO111" s="223">
        <v>25</v>
      </c>
      <c r="AP111" s="223">
        <v>45.35</v>
      </c>
      <c r="AQ111" s="223">
        <v>48.55</v>
      </c>
      <c r="AR111" s="223">
        <v>36.549999999999997</v>
      </c>
      <c r="AS111" s="223">
        <v>40.450000000000003</v>
      </c>
      <c r="AT111" s="223">
        <v>25</v>
      </c>
      <c r="AU111" s="223">
        <v>25</v>
      </c>
      <c r="AV111" s="223">
        <v>23</v>
      </c>
      <c r="AW111" s="223">
        <v>25</v>
      </c>
      <c r="AX111" s="223">
        <v>47.5</v>
      </c>
      <c r="AY111" s="223">
        <v>40.950000000000003</v>
      </c>
      <c r="AZ111" s="17"/>
      <c r="BA111" s="4"/>
      <c r="BB111" s="4"/>
      <c r="BC111" s="4"/>
      <c r="BD111" s="4"/>
      <c r="BE111" s="2"/>
    </row>
    <row r="112" spans="1:58" ht="15">
      <c r="A112" s="17"/>
      <c r="B112" s="94"/>
      <c r="C112" s="17"/>
      <c r="D112" s="17"/>
      <c r="E112" s="17"/>
      <c r="F112" s="17"/>
      <c r="G112" s="17"/>
      <c r="H112" s="17"/>
      <c r="I112" s="25"/>
      <c r="J112" s="17" t="s">
        <v>114</v>
      </c>
      <c r="K112" s="17"/>
      <c r="L112" s="17"/>
      <c r="M112" s="68">
        <v>7</v>
      </c>
      <c r="N112" s="17" t="s">
        <v>0</v>
      </c>
      <c r="O112" s="17"/>
      <c r="P112" s="17"/>
      <c r="Q112" s="24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85" t="str">
        <f t="shared" si="16"/>
        <v>รำละเอียด</v>
      </c>
      <c r="AM112" s="155">
        <f t="shared" si="17"/>
        <v>7.8</v>
      </c>
      <c r="AN112" s="223">
        <v>10</v>
      </c>
      <c r="AO112" s="223">
        <v>10</v>
      </c>
      <c r="AP112" s="223">
        <v>10</v>
      </c>
      <c r="AQ112" s="223">
        <v>10</v>
      </c>
      <c r="AR112" s="223">
        <v>10</v>
      </c>
      <c r="AS112" s="223">
        <v>10</v>
      </c>
      <c r="AT112" s="223"/>
      <c r="AU112" s="223"/>
      <c r="AV112" s="223"/>
      <c r="AW112" s="223"/>
      <c r="AX112" s="223"/>
      <c r="AY112" s="223"/>
      <c r="AZ112" s="34" t="s">
        <v>301</v>
      </c>
      <c r="BA112" s="4"/>
      <c r="BB112" s="4"/>
      <c r="BC112" s="4"/>
      <c r="BD112" s="4"/>
      <c r="BE112" s="2"/>
    </row>
    <row r="113" spans="1:57">
      <c r="A113" s="17"/>
      <c r="B113" s="17"/>
      <c r="C113" s="17"/>
      <c r="D113" s="17"/>
      <c r="E113" s="17"/>
      <c r="F113" s="17"/>
      <c r="G113" s="17"/>
      <c r="H113" s="17"/>
      <c r="I113" s="25"/>
      <c r="J113" s="17"/>
      <c r="K113" s="17"/>
      <c r="L113" s="17"/>
      <c r="M113" s="17"/>
      <c r="N113" s="17"/>
      <c r="O113" s="17"/>
      <c r="P113" s="17"/>
      <c r="Q113" s="24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85" t="str">
        <f t="shared" si="16"/>
        <v>รำสกัด</v>
      </c>
      <c r="AM113" s="155">
        <f t="shared" si="17"/>
        <v>6</v>
      </c>
      <c r="AN113" s="223"/>
      <c r="AO113" s="223"/>
      <c r="AP113" s="223"/>
      <c r="AQ113" s="223"/>
      <c r="AR113" s="223"/>
      <c r="AS113" s="223"/>
      <c r="AT113" s="223"/>
      <c r="AU113" s="223"/>
      <c r="AV113" s="223"/>
      <c r="AW113" s="223"/>
      <c r="AX113" s="223"/>
      <c r="AY113" s="223"/>
      <c r="AZ113" s="17"/>
      <c r="BA113" s="4"/>
      <c r="BB113" s="4"/>
      <c r="BC113" s="4"/>
      <c r="BD113" s="4"/>
      <c r="BE113" s="2"/>
    </row>
    <row r="114" spans="1:57" ht="15">
      <c r="A114" s="17"/>
      <c r="B114" s="17"/>
      <c r="C114" s="17"/>
      <c r="D114" s="17"/>
      <c r="E114" s="17"/>
      <c r="F114" s="17"/>
      <c r="G114" s="17"/>
      <c r="H114" s="17"/>
      <c r="I114" s="25"/>
      <c r="J114" s="83" t="s">
        <v>116</v>
      </c>
      <c r="K114" s="83"/>
      <c r="L114" s="83"/>
      <c r="M114" s="84">
        <f>(M111/2)*M112/100*M110/365</f>
        <v>34.998218543225896</v>
      </c>
      <c r="N114" s="83" t="s">
        <v>63</v>
      </c>
      <c r="O114" s="17"/>
      <c r="P114" s="35" t="s">
        <v>215</v>
      </c>
      <c r="Q114" s="24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85" t="str">
        <f t="shared" si="16"/>
        <v>กากถั่วเหลือง (44%)</v>
      </c>
      <c r="AM114" s="155">
        <f t="shared" si="17"/>
        <v>14</v>
      </c>
      <c r="AN114" s="223">
        <v>26</v>
      </c>
      <c r="AO114" s="223">
        <v>30</v>
      </c>
      <c r="AP114" s="223">
        <v>29.5</v>
      </c>
      <c r="AQ114" s="223"/>
      <c r="AR114" s="223"/>
      <c r="AS114" s="223"/>
      <c r="AT114" s="223"/>
      <c r="AU114" s="223"/>
      <c r="AV114" s="223">
        <v>24</v>
      </c>
      <c r="AW114" s="223">
        <v>19</v>
      </c>
      <c r="AX114" s="223">
        <v>22.5</v>
      </c>
      <c r="AY114" s="223">
        <v>27</v>
      </c>
      <c r="AZ114" s="34" t="s">
        <v>154</v>
      </c>
      <c r="BA114" s="4"/>
      <c r="BB114" s="4"/>
      <c r="BC114" s="4"/>
      <c r="BD114" s="4"/>
      <c r="BE114" s="2"/>
    </row>
    <row r="115" spans="1:57">
      <c r="A115" s="17"/>
      <c r="B115" s="17"/>
      <c r="C115" s="17"/>
      <c r="D115" s="17"/>
      <c r="E115" s="17"/>
      <c r="F115" s="17"/>
      <c r="G115" s="17"/>
      <c r="H115" s="17"/>
      <c r="I115" s="30"/>
      <c r="J115" s="31"/>
      <c r="K115" s="31"/>
      <c r="L115" s="31"/>
      <c r="M115" s="31"/>
      <c r="N115" s="31"/>
      <c r="O115" s="31"/>
      <c r="P115" s="31"/>
      <c r="Q115" s="32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85" t="str">
        <f t="shared" si="16"/>
        <v>กากถั่วเหลือง(49%)</v>
      </c>
      <c r="AM115" s="155">
        <f t="shared" si="17"/>
        <v>15</v>
      </c>
      <c r="AN115" s="223"/>
      <c r="AO115" s="223"/>
      <c r="AP115" s="223"/>
      <c r="AQ115" s="223">
        <v>27</v>
      </c>
      <c r="AR115" s="223">
        <v>22.5</v>
      </c>
      <c r="AS115" s="223">
        <v>18.5</v>
      </c>
      <c r="AT115" s="223">
        <v>17</v>
      </c>
      <c r="AU115" s="223">
        <v>22</v>
      </c>
      <c r="AV115" s="223"/>
      <c r="AW115" s="223"/>
      <c r="AX115" s="223"/>
      <c r="AY115" s="223"/>
      <c r="AZ115" s="17"/>
      <c r="BA115" s="4"/>
      <c r="BB115" s="4"/>
      <c r="BC115" s="4"/>
      <c r="BD115" s="4"/>
      <c r="BE115" s="2"/>
    </row>
    <row r="116" spans="1:57" ht="15">
      <c r="A116" s="17"/>
      <c r="B116" s="17"/>
      <c r="C116" s="17"/>
      <c r="D116" s="17"/>
      <c r="E116" s="17"/>
      <c r="F116" s="17"/>
      <c r="G116" s="17"/>
      <c r="H116" s="17"/>
      <c r="I116" s="195">
        <v>1.1200000000000001</v>
      </c>
      <c r="J116" s="184" t="s">
        <v>243</v>
      </c>
      <c r="K116" s="20"/>
      <c r="L116" s="20"/>
      <c r="M116" s="20"/>
      <c r="N116" s="20"/>
      <c r="O116" s="20"/>
      <c r="P116" s="20"/>
      <c r="Q116" s="21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85" t="str">
        <f t="shared" si="16"/>
        <v>ถั่วเหลืองเอ็กทรูด (ถั่วอบ)</v>
      </c>
      <c r="AM116" s="155">
        <f t="shared" si="17"/>
        <v>16</v>
      </c>
      <c r="AN116" s="223">
        <v>5</v>
      </c>
      <c r="AO116" s="223">
        <v>5</v>
      </c>
      <c r="AP116" s="223">
        <v>10</v>
      </c>
      <c r="AQ116" s="223">
        <v>10</v>
      </c>
      <c r="AR116" s="223">
        <v>10</v>
      </c>
      <c r="AS116" s="223">
        <v>10</v>
      </c>
      <c r="AT116" s="223">
        <v>10</v>
      </c>
      <c r="AU116" s="223">
        <v>10</v>
      </c>
      <c r="AV116" s="223">
        <v>10</v>
      </c>
      <c r="AW116" s="223">
        <v>10</v>
      </c>
      <c r="AX116" s="223">
        <v>10</v>
      </c>
      <c r="AY116" s="223">
        <v>10</v>
      </c>
      <c r="AZ116" s="34" t="s">
        <v>155</v>
      </c>
      <c r="BA116" s="4"/>
      <c r="BB116" s="4"/>
      <c r="BC116" s="4"/>
      <c r="BD116" s="4"/>
      <c r="BE116" s="2"/>
    </row>
    <row r="117" spans="1:57">
      <c r="A117" s="17"/>
      <c r="B117" s="17"/>
      <c r="C117" s="17"/>
      <c r="D117" s="17"/>
      <c r="E117" s="17"/>
      <c r="F117" s="17"/>
      <c r="G117" s="17"/>
      <c r="H117" s="17"/>
      <c r="I117" s="25"/>
      <c r="J117" s="18"/>
      <c r="K117" s="18"/>
      <c r="L117" s="18"/>
      <c r="M117" s="18"/>
      <c r="N117" s="18"/>
      <c r="O117" s="18"/>
      <c r="P117" s="18"/>
      <c r="Q117" s="24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85" t="str">
        <f t="shared" si="16"/>
        <v>ปลาป่น (58%)</v>
      </c>
      <c r="AM117" s="155">
        <f t="shared" si="17"/>
        <v>35</v>
      </c>
      <c r="AN117" s="223"/>
      <c r="AO117" s="223"/>
      <c r="AP117" s="223"/>
      <c r="AQ117" s="223"/>
      <c r="AR117" s="223"/>
      <c r="AS117" s="223"/>
      <c r="AT117" s="223"/>
      <c r="AU117" s="223"/>
      <c r="AV117" s="223"/>
      <c r="AW117" s="223"/>
      <c r="AX117" s="223"/>
      <c r="AY117" s="223"/>
      <c r="AZ117" s="17"/>
      <c r="BA117" s="4"/>
      <c r="BB117" s="4"/>
      <c r="BC117" s="4"/>
      <c r="BD117" s="4"/>
      <c r="BE117" s="2"/>
    </row>
    <row r="118" spans="1:57">
      <c r="A118" s="17"/>
      <c r="B118" s="17"/>
      <c r="C118" s="17"/>
      <c r="D118" s="17"/>
      <c r="E118" s="17"/>
      <c r="F118" s="17"/>
      <c r="G118" s="17"/>
      <c r="H118" s="17"/>
      <c r="I118" s="25"/>
      <c r="J118" s="18" t="s">
        <v>244</v>
      </c>
      <c r="K118" s="18"/>
      <c r="L118" s="140">
        <v>0.2</v>
      </c>
      <c r="M118" s="18" t="s">
        <v>245</v>
      </c>
      <c r="N118" s="18" t="s">
        <v>246</v>
      </c>
      <c r="O118" s="18"/>
      <c r="P118" s="187">
        <f>M33</f>
        <v>165.9</v>
      </c>
      <c r="Q118" s="24" t="s">
        <v>60</v>
      </c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85" t="str">
        <f t="shared" si="16"/>
        <v>กากเนื้อในปาล์ม</v>
      </c>
      <c r="AM118" s="155">
        <f t="shared" si="17"/>
        <v>8</v>
      </c>
      <c r="AN118" s="223"/>
      <c r="AO118" s="223"/>
      <c r="AP118" s="223"/>
      <c r="AQ118" s="223"/>
      <c r="AR118" s="223">
        <v>15</v>
      </c>
      <c r="AS118" s="223"/>
      <c r="AT118" s="223"/>
      <c r="AU118" s="223">
        <v>15</v>
      </c>
      <c r="AV118" s="223">
        <v>15</v>
      </c>
      <c r="AW118" s="223"/>
      <c r="AX118" s="223"/>
      <c r="AY118" s="223">
        <v>15</v>
      </c>
      <c r="AZ118" s="17"/>
      <c r="BA118" s="4"/>
      <c r="BB118" s="4"/>
      <c r="BC118" s="4"/>
      <c r="BD118" s="4"/>
      <c r="BE118" s="2"/>
    </row>
    <row r="119" spans="1:57">
      <c r="A119" s="17"/>
      <c r="B119" s="17"/>
      <c r="C119" s="17"/>
      <c r="D119" s="17"/>
      <c r="E119" s="17"/>
      <c r="F119" s="17"/>
      <c r="G119" s="17"/>
      <c r="H119" s="17"/>
      <c r="I119" s="25"/>
      <c r="J119" s="18" t="s">
        <v>247</v>
      </c>
      <c r="K119" s="18"/>
      <c r="L119" s="187">
        <f>L118*P118</f>
        <v>33.18</v>
      </c>
      <c r="M119" s="18" t="s">
        <v>248</v>
      </c>
      <c r="N119" s="18" t="s">
        <v>249</v>
      </c>
      <c r="O119" s="18"/>
      <c r="P119" s="140">
        <v>2</v>
      </c>
      <c r="Q119" s="24" t="s">
        <v>30</v>
      </c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85" t="str">
        <f t="shared" si="16"/>
        <v>DDGS</v>
      </c>
      <c r="AM119" s="155">
        <f t="shared" si="17"/>
        <v>9</v>
      </c>
      <c r="AN119" s="223"/>
      <c r="AO119" s="223"/>
      <c r="AP119" s="223"/>
      <c r="AQ119" s="223"/>
      <c r="AR119" s="223"/>
      <c r="AS119" s="223">
        <v>15</v>
      </c>
      <c r="AT119" s="223">
        <v>15</v>
      </c>
      <c r="AU119" s="223"/>
      <c r="AV119" s="223"/>
      <c r="AW119" s="223">
        <v>15</v>
      </c>
      <c r="AX119" s="223">
        <v>15</v>
      </c>
      <c r="AY119" s="223"/>
      <c r="AZ119" s="17"/>
      <c r="BA119" s="4"/>
      <c r="BB119" s="4"/>
      <c r="BC119" s="4"/>
      <c r="BD119" s="4"/>
      <c r="BE119" s="2"/>
    </row>
    <row r="120" spans="1:57">
      <c r="A120" s="17"/>
      <c r="B120" s="17"/>
      <c r="C120" s="17"/>
      <c r="D120" s="17"/>
      <c r="E120" s="17"/>
      <c r="F120" s="17"/>
      <c r="G120" s="17"/>
      <c r="H120" s="17"/>
      <c r="I120" s="25"/>
      <c r="J120" s="18" t="s">
        <v>250</v>
      </c>
      <c r="K120" s="18"/>
      <c r="L120" s="18"/>
      <c r="M120" s="59">
        <f>L119*P119</f>
        <v>66.36</v>
      </c>
      <c r="N120" s="18" t="s">
        <v>30</v>
      </c>
      <c r="O120" s="18"/>
      <c r="P120" s="18"/>
      <c r="Q120" s="24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85" t="str">
        <f t="shared" si="16"/>
        <v>เวย์ (whey)</v>
      </c>
      <c r="AM120" s="155">
        <f t="shared" si="17"/>
        <v>23</v>
      </c>
      <c r="AN120" s="223"/>
      <c r="AO120" s="223"/>
      <c r="AP120" s="223"/>
      <c r="AQ120" s="223"/>
      <c r="AR120" s="223"/>
      <c r="AS120" s="223"/>
      <c r="AT120" s="223"/>
      <c r="AU120" s="223"/>
      <c r="AV120" s="223"/>
      <c r="AW120" s="223"/>
      <c r="AX120" s="223"/>
      <c r="AY120" s="223"/>
      <c r="AZ120" s="17"/>
      <c r="BA120" s="4"/>
      <c r="BB120" s="4"/>
      <c r="BC120" s="4"/>
      <c r="BD120" s="4"/>
      <c r="BE120" s="2"/>
    </row>
    <row r="121" spans="1:57" ht="15">
      <c r="A121" s="17"/>
      <c r="B121" s="17"/>
      <c r="C121" s="17"/>
      <c r="D121" s="17"/>
      <c r="E121" s="17"/>
      <c r="F121" s="17"/>
      <c r="G121" s="17"/>
      <c r="H121" s="17"/>
      <c r="I121" s="25"/>
      <c r="J121" s="18"/>
      <c r="K121" s="18"/>
      <c r="L121" s="18"/>
      <c r="M121" s="18"/>
      <c r="N121" s="18"/>
      <c r="O121" s="18"/>
      <c r="P121" s="18"/>
      <c r="Q121" s="24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85" t="str">
        <f t="shared" si="16"/>
        <v>กากคาโนล่า</v>
      </c>
      <c r="AM121" s="155">
        <f t="shared" si="17"/>
        <v>15</v>
      </c>
      <c r="AN121" s="223"/>
      <c r="AO121" s="223"/>
      <c r="AP121" s="223"/>
      <c r="AQ121" s="223"/>
      <c r="AR121" s="223"/>
      <c r="AS121" s="223"/>
      <c r="AT121" s="223"/>
      <c r="AU121" s="223"/>
      <c r="AV121" s="223"/>
      <c r="AW121" s="223"/>
      <c r="AX121" s="223"/>
      <c r="AY121" s="223"/>
      <c r="AZ121" s="35" t="s">
        <v>215</v>
      </c>
      <c r="BA121" s="4"/>
      <c r="BB121" s="4"/>
      <c r="BC121" s="4"/>
      <c r="BD121" s="4"/>
      <c r="BE121" s="2"/>
    </row>
    <row r="122" spans="1:57">
      <c r="A122" s="17"/>
      <c r="B122" s="17"/>
      <c r="C122" s="17"/>
      <c r="D122" s="17"/>
      <c r="E122" s="17"/>
      <c r="F122" s="17"/>
      <c r="G122" s="17"/>
      <c r="H122" s="17"/>
      <c r="I122" s="25"/>
      <c r="J122" s="17" t="s">
        <v>200</v>
      </c>
      <c r="K122" s="18"/>
      <c r="L122" s="18"/>
      <c r="M122" s="59">
        <f>M10</f>
        <v>8.1999999999999993</v>
      </c>
      <c r="N122" s="18" t="s">
        <v>44</v>
      </c>
      <c r="O122" s="18"/>
      <c r="P122" s="18"/>
      <c r="Q122" s="24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85" t="str">
        <f t="shared" si="16"/>
        <v>น้ำมันรำ</v>
      </c>
      <c r="AM122" s="155">
        <f t="shared" si="17"/>
        <v>25</v>
      </c>
      <c r="AN122" s="223">
        <v>1</v>
      </c>
      <c r="AO122" s="223">
        <v>1</v>
      </c>
      <c r="AP122" s="223">
        <v>1</v>
      </c>
      <c r="AQ122" s="223">
        <v>0.5</v>
      </c>
      <c r="AR122" s="223">
        <v>2</v>
      </c>
      <c r="AS122" s="223">
        <v>2</v>
      </c>
      <c r="AT122" s="223"/>
      <c r="AU122" s="223">
        <v>2</v>
      </c>
      <c r="AV122" s="223">
        <v>2</v>
      </c>
      <c r="AW122" s="223">
        <v>1</v>
      </c>
      <c r="AX122" s="223">
        <v>1</v>
      </c>
      <c r="AY122" s="223">
        <v>3</v>
      </c>
      <c r="AZ122" s="17"/>
      <c r="BA122" s="4"/>
      <c r="BB122" s="4"/>
      <c r="BC122" s="4"/>
      <c r="BD122" s="4"/>
      <c r="BE122" s="2"/>
    </row>
    <row r="123" spans="1:57">
      <c r="A123" s="17"/>
      <c r="B123" s="17"/>
      <c r="C123" s="17"/>
      <c r="D123" s="17"/>
      <c r="E123" s="17"/>
      <c r="F123" s="17"/>
      <c r="G123" s="17"/>
      <c r="H123" s="17"/>
      <c r="I123" s="25"/>
      <c r="J123" s="18"/>
      <c r="K123" s="18"/>
      <c r="L123" s="18"/>
      <c r="M123" s="18"/>
      <c r="N123" s="18"/>
      <c r="O123" s="18"/>
      <c r="P123" s="18"/>
      <c r="Q123" s="24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85" t="str">
        <f t="shared" ref="AL123:AM130" si="18">AC22</f>
        <v>เปลือกหอย/หินปูน</v>
      </c>
      <c r="AM123" s="155">
        <f t="shared" si="18"/>
        <v>2.5</v>
      </c>
      <c r="AN123" s="223">
        <v>0.3</v>
      </c>
      <c r="AO123" s="223">
        <v>0.3</v>
      </c>
      <c r="AP123" s="223">
        <v>0.3</v>
      </c>
      <c r="AQ123" s="223">
        <v>0.1</v>
      </c>
      <c r="AR123" s="223">
        <v>0.1</v>
      </c>
      <c r="AS123" s="223">
        <v>0.1</v>
      </c>
      <c r="AT123" s="223">
        <v>0.3</v>
      </c>
      <c r="AU123" s="223"/>
      <c r="AV123" s="223"/>
      <c r="AW123" s="223">
        <v>0.25</v>
      </c>
      <c r="AX123" s="223">
        <v>0.25</v>
      </c>
      <c r="AY123" s="223"/>
      <c r="AZ123" s="17"/>
      <c r="BA123" s="4"/>
      <c r="BB123" s="4"/>
      <c r="BC123" s="4"/>
      <c r="BD123" s="4"/>
      <c r="BE123" s="2"/>
    </row>
    <row r="124" spans="1:57" ht="15">
      <c r="A124" s="17"/>
      <c r="B124" s="17"/>
      <c r="C124" s="17"/>
      <c r="D124" s="17"/>
      <c r="E124" s="17"/>
      <c r="F124" s="17"/>
      <c r="G124" s="17"/>
      <c r="H124" s="17"/>
      <c r="I124" s="25"/>
      <c r="J124" s="18" t="s">
        <v>251</v>
      </c>
      <c r="K124" s="18"/>
      <c r="L124" s="18"/>
      <c r="M124" s="196">
        <f>M120/M122</f>
        <v>8.0926829268292693</v>
      </c>
      <c r="N124" s="18" t="s">
        <v>30</v>
      </c>
      <c r="O124" s="18"/>
      <c r="P124" s="35" t="s">
        <v>215</v>
      </c>
      <c r="Q124" s="24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85" t="str">
        <f t="shared" si="18"/>
        <v>ไดแคลเซี่ยมฟอสเฟต</v>
      </c>
      <c r="AM124" s="155">
        <f t="shared" si="18"/>
        <v>13</v>
      </c>
      <c r="AN124" s="223">
        <v>3</v>
      </c>
      <c r="AO124" s="223">
        <v>3</v>
      </c>
      <c r="AP124" s="223">
        <v>3</v>
      </c>
      <c r="AQ124" s="223">
        <v>3</v>
      </c>
      <c r="AR124" s="223">
        <v>3</v>
      </c>
      <c r="AS124" s="223">
        <v>3</v>
      </c>
      <c r="AT124" s="223">
        <v>2.8</v>
      </c>
      <c r="AU124" s="223">
        <v>3.1</v>
      </c>
      <c r="AV124" s="223">
        <v>3.1</v>
      </c>
      <c r="AW124" s="223">
        <v>2.8</v>
      </c>
      <c r="AX124" s="223">
        <v>2.8</v>
      </c>
      <c r="AY124" s="223">
        <v>3.2</v>
      </c>
      <c r="AZ124" s="17"/>
      <c r="BA124" s="4"/>
      <c r="BB124" s="4"/>
      <c r="BC124" s="4"/>
      <c r="BD124" s="4"/>
      <c r="BE124" s="2"/>
    </row>
    <row r="125" spans="1:57">
      <c r="A125" s="17"/>
      <c r="B125" s="17"/>
      <c r="C125" s="17"/>
      <c r="D125" s="17"/>
      <c r="E125" s="17"/>
      <c r="F125" s="17"/>
      <c r="G125" s="17"/>
      <c r="H125" s="17"/>
      <c r="I125" s="30"/>
      <c r="J125" s="31"/>
      <c r="K125" s="31"/>
      <c r="L125" s="31"/>
      <c r="M125" s="31"/>
      <c r="N125" s="31"/>
      <c r="O125" s="31"/>
      <c r="P125" s="31"/>
      <c r="Q125" s="32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85" t="str">
        <f t="shared" si="18"/>
        <v>โมโนแคลเซี่ยมฟอสเฟต</v>
      </c>
      <c r="AM125" s="155">
        <f t="shared" si="18"/>
        <v>18</v>
      </c>
      <c r="AN125" s="223"/>
      <c r="AO125" s="223"/>
      <c r="AP125" s="223"/>
      <c r="AQ125" s="223"/>
      <c r="AR125" s="223"/>
      <c r="AS125" s="223"/>
      <c r="AT125" s="223"/>
      <c r="AU125" s="223"/>
      <c r="AV125" s="223"/>
      <c r="AW125" s="223"/>
      <c r="AX125" s="223"/>
      <c r="AY125" s="223"/>
      <c r="AZ125" s="17"/>
      <c r="BA125" s="4"/>
      <c r="BB125" s="4"/>
      <c r="BC125" s="4"/>
      <c r="BD125" s="4"/>
      <c r="BE125" s="2"/>
    </row>
    <row r="126" spans="1:57">
      <c r="A126" s="17"/>
      <c r="B126" s="17"/>
      <c r="C126" s="17"/>
      <c r="D126" s="17"/>
      <c r="E126" s="17"/>
      <c r="F126" s="17"/>
      <c r="G126" s="17"/>
      <c r="H126" s="17"/>
      <c r="I126" s="18"/>
      <c r="J126" s="18"/>
      <c r="K126" s="18"/>
      <c r="L126" s="18"/>
      <c r="M126" s="18"/>
      <c r="N126" s="18"/>
      <c r="O126" s="18"/>
      <c r="P126" s="18"/>
      <c r="Q126" s="18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85" t="str">
        <f t="shared" si="18"/>
        <v>เกลือ</v>
      </c>
      <c r="AM126" s="155">
        <f t="shared" si="18"/>
        <v>1.5</v>
      </c>
      <c r="AN126" s="223">
        <v>0.35</v>
      </c>
      <c r="AO126" s="223">
        <v>0.35</v>
      </c>
      <c r="AP126" s="223">
        <v>0.35</v>
      </c>
      <c r="AQ126" s="223">
        <v>0.35</v>
      </c>
      <c r="AR126" s="223">
        <v>0.35</v>
      </c>
      <c r="AS126" s="223">
        <v>0.35</v>
      </c>
      <c r="AT126" s="223">
        <v>0.35</v>
      </c>
      <c r="AU126" s="223">
        <v>0.35</v>
      </c>
      <c r="AV126" s="223">
        <v>0.35</v>
      </c>
      <c r="AW126" s="223">
        <v>0.35</v>
      </c>
      <c r="AX126" s="223">
        <v>0.35</v>
      </c>
      <c r="AY126" s="223">
        <v>0.35</v>
      </c>
      <c r="AZ126" s="17"/>
      <c r="BA126" s="4"/>
      <c r="BB126" s="4"/>
      <c r="BC126" s="4"/>
      <c r="BD126" s="4"/>
      <c r="BE126" s="2"/>
    </row>
    <row r="127" spans="1:57">
      <c r="A127" s="17"/>
      <c r="B127" s="17"/>
      <c r="C127" s="17"/>
      <c r="D127" s="17"/>
      <c r="E127" s="17"/>
      <c r="F127" s="17"/>
      <c r="G127" s="17"/>
      <c r="H127" s="17"/>
      <c r="I127" s="18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85" t="str">
        <f t="shared" si="18"/>
        <v>แอล-ไลซีน</v>
      </c>
      <c r="AM127" s="155">
        <f t="shared" si="18"/>
        <v>80</v>
      </c>
      <c r="AN127" s="223">
        <v>0.15</v>
      </c>
      <c r="AO127" s="223">
        <v>0.05</v>
      </c>
      <c r="AP127" s="223"/>
      <c r="AQ127" s="223"/>
      <c r="AR127" s="223">
        <v>0.05</v>
      </c>
      <c r="AS127" s="223">
        <v>0.15</v>
      </c>
      <c r="AT127" s="223">
        <v>0.2</v>
      </c>
      <c r="AU127" s="223">
        <v>0.05</v>
      </c>
      <c r="AV127" s="223">
        <v>0.1</v>
      </c>
      <c r="AW127" s="223">
        <v>0.2</v>
      </c>
      <c r="AX127" s="223">
        <v>0.15</v>
      </c>
      <c r="AY127" s="223">
        <v>0.05</v>
      </c>
      <c r="AZ127" s="17"/>
      <c r="BA127" s="4"/>
      <c r="BB127" s="4"/>
      <c r="BC127" s="4"/>
      <c r="BD127" s="4"/>
      <c r="BE127" s="2"/>
    </row>
    <row r="128" spans="1:57" ht="15">
      <c r="A128" s="17"/>
      <c r="B128" s="17"/>
      <c r="C128" s="17"/>
      <c r="D128" s="17"/>
      <c r="E128" s="17"/>
      <c r="F128" s="17"/>
      <c r="G128" s="17"/>
      <c r="H128" s="17"/>
      <c r="I128" s="19"/>
      <c r="J128" s="20"/>
      <c r="K128" s="20"/>
      <c r="L128" s="20"/>
      <c r="M128" s="20"/>
      <c r="N128" s="21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85" t="str">
        <f t="shared" si="18"/>
        <v>ดีแอล-เมทไธโอนีน</v>
      </c>
      <c r="AM128" s="155">
        <f t="shared" si="18"/>
        <v>130</v>
      </c>
      <c r="AN128" s="223">
        <v>0.1</v>
      </c>
      <c r="AO128" s="223">
        <v>0.1</v>
      </c>
      <c r="AP128" s="223">
        <v>0.2</v>
      </c>
      <c r="AQ128" s="223">
        <v>0.2</v>
      </c>
      <c r="AR128" s="223">
        <v>0.15</v>
      </c>
      <c r="AS128" s="223">
        <v>0.15</v>
      </c>
      <c r="AT128" s="223">
        <v>0.1</v>
      </c>
      <c r="AU128" s="223">
        <v>0.1</v>
      </c>
      <c r="AV128" s="223">
        <v>0.1</v>
      </c>
      <c r="AW128" s="223">
        <v>0.1</v>
      </c>
      <c r="AX128" s="223">
        <v>0.15</v>
      </c>
      <c r="AY128" s="223">
        <v>0.15</v>
      </c>
      <c r="AZ128" s="35"/>
      <c r="BA128" s="4"/>
      <c r="BB128" s="4"/>
      <c r="BC128" s="4"/>
      <c r="BD128" s="4"/>
      <c r="BE128" s="2"/>
    </row>
    <row r="129" spans="1:57">
      <c r="A129" s="17"/>
      <c r="B129" s="17"/>
      <c r="C129" s="17"/>
      <c r="D129" s="17"/>
      <c r="E129" s="17"/>
      <c r="F129" s="17"/>
      <c r="G129" s="17"/>
      <c r="H129" s="17"/>
      <c r="I129" s="79" t="s">
        <v>229</v>
      </c>
      <c r="J129" s="18"/>
      <c r="K129" s="18"/>
      <c r="L129" s="18"/>
      <c r="M129" s="18"/>
      <c r="N129" s="24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85" t="str">
        <f t="shared" si="18"/>
        <v>แอล-ทรีโอนีน</v>
      </c>
      <c r="AM129" s="155">
        <f t="shared" si="18"/>
        <v>130</v>
      </c>
      <c r="AN129" s="223">
        <v>0.05</v>
      </c>
      <c r="AO129" s="223">
        <v>0.05</v>
      </c>
      <c r="AP129" s="223">
        <v>0.05</v>
      </c>
      <c r="AQ129" s="223">
        <v>0.05</v>
      </c>
      <c r="AR129" s="223">
        <v>0.05</v>
      </c>
      <c r="AS129" s="223">
        <v>0.05</v>
      </c>
      <c r="AT129" s="223">
        <v>0.05</v>
      </c>
      <c r="AU129" s="223">
        <v>0.05</v>
      </c>
      <c r="AV129" s="223">
        <v>0.05</v>
      </c>
      <c r="AW129" s="223">
        <v>0.05</v>
      </c>
      <c r="AX129" s="223">
        <v>0.05</v>
      </c>
      <c r="AY129" s="223">
        <v>0.05</v>
      </c>
      <c r="AZ129" s="17"/>
      <c r="BA129" s="4"/>
      <c r="BB129" s="4"/>
      <c r="BC129" s="4"/>
      <c r="BD129" s="4"/>
      <c r="BE129" s="2"/>
    </row>
    <row r="130" spans="1:57">
      <c r="A130" s="17"/>
      <c r="B130" s="17"/>
      <c r="C130" s="17"/>
      <c r="D130" s="17"/>
      <c r="E130" s="17"/>
      <c r="F130" s="17"/>
      <c r="G130" s="17"/>
      <c r="H130" s="17"/>
      <c r="I130" s="30"/>
      <c r="J130" s="31"/>
      <c r="K130" s="31"/>
      <c r="L130" s="31"/>
      <c r="M130" s="31"/>
      <c r="N130" s="32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85" t="str">
        <f t="shared" si="18"/>
        <v>พรีมิกซ์</v>
      </c>
      <c r="AM130" s="155">
        <f t="shared" si="18"/>
        <v>50</v>
      </c>
      <c r="AN130" s="223">
        <v>0.25</v>
      </c>
      <c r="AO130" s="223">
        <v>0.25</v>
      </c>
      <c r="AP130" s="223">
        <v>0.25</v>
      </c>
      <c r="AQ130" s="223">
        <v>0.25</v>
      </c>
      <c r="AR130" s="223">
        <v>0.25</v>
      </c>
      <c r="AS130" s="223">
        <v>0.25</v>
      </c>
      <c r="AT130" s="223">
        <v>0.25</v>
      </c>
      <c r="AU130" s="223">
        <v>0.25</v>
      </c>
      <c r="AV130" s="223">
        <v>0.25</v>
      </c>
      <c r="AW130" s="223">
        <v>0.25</v>
      </c>
      <c r="AX130" s="223">
        <v>0.25</v>
      </c>
      <c r="AY130" s="223">
        <v>0.25</v>
      </c>
      <c r="AZ130" s="17"/>
      <c r="BA130" s="4"/>
      <c r="BB130" s="4"/>
      <c r="BC130" s="4"/>
      <c r="BD130" s="4"/>
      <c r="BE130" s="2"/>
    </row>
    <row r="131" spans="1:57" ht="15.75">
      <c r="A131" s="17"/>
      <c r="B131" s="17"/>
      <c r="C131" s="17"/>
      <c r="D131" s="17"/>
      <c r="E131" s="17"/>
      <c r="F131" s="17"/>
      <c r="G131" s="17"/>
      <c r="H131" s="17"/>
      <c r="I131" s="25" t="s">
        <v>204</v>
      </c>
      <c r="J131" s="18"/>
      <c r="K131" s="18"/>
      <c r="L131" s="18"/>
      <c r="M131" s="59" t="s">
        <v>220</v>
      </c>
      <c r="N131" s="24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6" t="s">
        <v>59</v>
      </c>
      <c r="AM131" s="176"/>
      <c r="AN131" s="159">
        <f t="shared" ref="AN131:AY131" si="19">SUM(AN109:AN130)</f>
        <v>99.999999999999986</v>
      </c>
      <c r="AO131" s="159">
        <f t="shared" si="19"/>
        <v>99.999999999999986</v>
      </c>
      <c r="AP131" s="159">
        <f t="shared" si="19"/>
        <v>99.999999999999986</v>
      </c>
      <c r="AQ131" s="159">
        <f t="shared" si="19"/>
        <v>99.999999999999986</v>
      </c>
      <c r="AR131" s="159">
        <f t="shared" si="19"/>
        <v>99.999999999999986</v>
      </c>
      <c r="AS131" s="159">
        <f t="shared" si="19"/>
        <v>100</v>
      </c>
      <c r="AT131" s="159">
        <f t="shared" si="19"/>
        <v>99.999999999999986</v>
      </c>
      <c r="AU131" s="159">
        <f t="shared" si="19"/>
        <v>99.999999999999972</v>
      </c>
      <c r="AV131" s="159">
        <f t="shared" si="19"/>
        <v>99.999999999999972</v>
      </c>
      <c r="AW131" s="159">
        <f t="shared" si="19"/>
        <v>99.999999999999986</v>
      </c>
      <c r="AX131" s="159">
        <f t="shared" si="19"/>
        <v>100</v>
      </c>
      <c r="AY131" s="159">
        <f t="shared" si="19"/>
        <v>100</v>
      </c>
      <c r="AZ131" s="17"/>
      <c r="BA131" s="4"/>
      <c r="BB131" s="4"/>
      <c r="BC131" s="4"/>
      <c r="BD131" s="4"/>
      <c r="BE131" s="2"/>
    </row>
    <row r="132" spans="1:57" ht="15">
      <c r="A132" s="17"/>
      <c r="B132" s="17"/>
      <c r="C132" s="17"/>
      <c r="D132" s="17"/>
      <c r="E132" s="17"/>
      <c r="F132" s="17"/>
      <c r="G132" s="17"/>
      <c r="H132" s="17"/>
      <c r="I132" s="25"/>
      <c r="J132" s="197" t="s">
        <v>277</v>
      </c>
      <c r="K132" s="198"/>
      <c r="L132" s="198"/>
      <c r="M132" s="199">
        <v>50</v>
      </c>
      <c r="N132" s="24" t="s">
        <v>30</v>
      </c>
      <c r="O132" s="35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6" t="s">
        <v>284</v>
      </c>
      <c r="AM132" s="176"/>
      <c r="AN132" s="15">
        <f t="shared" ref="AN132:AY132" si="20">($AM109*AN109+$AM110*AN110+$AM111*AN111+$AM112*AN112+$AM113*AN113+$AM114*AN114+$AM115*AN115+$AM116*AN116+$AM117*AN117+$AM118*AN118+$AM119*AN119+$AM120*AN120+$AM121*AN121+$AM122*AN122+$AM124*AN124+$AM125*AN125+$AM126*AN126+$AM127*AN127+$AM128*AN128+$AM129*AN129+$AM130*AN130)/AN131</f>
        <v>11.039650000000004</v>
      </c>
      <c r="AO132" s="15">
        <f t="shared" si="20"/>
        <v>10.851450000000002</v>
      </c>
      <c r="AP132" s="15">
        <f t="shared" si="20"/>
        <v>11.006500000000003</v>
      </c>
      <c r="AQ132" s="15">
        <f t="shared" si="20"/>
        <v>11.041500000000003</v>
      </c>
      <c r="AR132" s="15">
        <f t="shared" si="20"/>
        <v>11.016500000000002</v>
      </c>
      <c r="AS132" s="15">
        <f t="shared" si="20"/>
        <v>10.939</v>
      </c>
      <c r="AT132" s="15">
        <f t="shared" si="20"/>
        <v>10.771850000000004</v>
      </c>
      <c r="AU132" s="15">
        <f t="shared" si="20"/>
        <v>11.188050000000004</v>
      </c>
      <c r="AV132" s="15">
        <f t="shared" si="20"/>
        <v>11.133650000000003</v>
      </c>
      <c r="AW132" s="15">
        <f t="shared" si="20"/>
        <v>10.872250000000003</v>
      </c>
      <c r="AX132" s="15">
        <f t="shared" si="20"/>
        <v>10.786750000000001</v>
      </c>
      <c r="AY132" s="15">
        <f t="shared" si="20"/>
        <v>11.2475</v>
      </c>
      <c r="AZ132" s="17"/>
      <c r="BA132" s="4"/>
      <c r="BB132" s="4"/>
      <c r="BC132" s="4"/>
      <c r="BD132" s="4"/>
      <c r="BE132" s="2"/>
    </row>
    <row r="133" spans="1:57">
      <c r="A133" s="17"/>
      <c r="B133" s="17"/>
      <c r="C133" s="17"/>
      <c r="D133" s="17"/>
      <c r="E133" s="17"/>
      <c r="F133" s="17"/>
      <c r="G133" s="17"/>
      <c r="H133" s="17"/>
      <c r="I133" s="25"/>
      <c r="J133" s="200" t="s">
        <v>208</v>
      </c>
      <c r="K133" s="189"/>
      <c r="L133" s="189"/>
      <c r="M133" s="201"/>
      <c r="N133" s="24" t="s">
        <v>30</v>
      </c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4"/>
      <c r="BB133" s="4"/>
      <c r="BC133" s="4"/>
      <c r="BD133" s="4"/>
      <c r="BE133" s="2"/>
    </row>
    <row r="134" spans="1:57">
      <c r="A134" s="17"/>
      <c r="B134" s="17"/>
      <c r="C134" s="17"/>
      <c r="D134" s="17"/>
      <c r="E134" s="17"/>
      <c r="F134" s="17"/>
      <c r="G134" s="17"/>
      <c r="H134" s="17"/>
      <c r="I134" s="25"/>
      <c r="J134" s="200" t="s">
        <v>208</v>
      </c>
      <c r="K134" s="189"/>
      <c r="L134" s="189"/>
      <c r="M134" s="201"/>
      <c r="N134" s="24" t="s">
        <v>30</v>
      </c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4"/>
      <c r="BB134" s="4"/>
      <c r="BC134" s="4"/>
      <c r="BD134" s="4"/>
      <c r="BE134" s="2"/>
    </row>
    <row r="135" spans="1:57" ht="15">
      <c r="A135" s="17"/>
      <c r="B135" s="17"/>
      <c r="C135" s="17"/>
      <c r="D135" s="17"/>
      <c r="E135" s="17"/>
      <c r="F135" s="17"/>
      <c r="G135" s="17"/>
      <c r="H135" s="17"/>
      <c r="I135" s="25"/>
      <c r="J135" s="202" t="s">
        <v>208</v>
      </c>
      <c r="K135" s="203"/>
      <c r="L135" s="203"/>
      <c r="M135" s="201"/>
      <c r="N135" s="24" t="s">
        <v>30</v>
      </c>
      <c r="O135" s="34" t="s">
        <v>304</v>
      </c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77"/>
      <c r="AM135" s="41" t="s">
        <v>188</v>
      </c>
      <c r="AN135" s="232" t="s">
        <v>224</v>
      </c>
      <c r="AO135" s="233"/>
      <c r="AP135" s="233"/>
      <c r="AQ135" s="233"/>
      <c r="AR135" s="233"/>
      <c r="AS135" s="233"/>
      <c r="AT135" s="233"/>
      <c r="AU135" s="233"/>
      <c r="AV135" s="233"/>
      <c r="AW135" s="233"/>
      <c r="AX135" s="233"/>
      <c r="AY135" s="234"/>
      <c r="AZ135" s="17"/>
      <c r="BA135" s="4"/>
      <c r="BB135" s="4"/>
      <c r="BC135" s="4"/>
      <c r="BD135" s="4"/>
      <c r="BE135" s="2"/>
    </row>
    <row r="136" spans="1:57" ht="15">
      <c r="A136" s="17"/>
      <c r="B136" s="17"/>
      <c r="C136" s="17"/>
      <c r="D136" s="17"/>
      <c r="E136" s="17"/>
      <c r="F136" s="17"/>
      <c r="G136" s="17"/>
      <c r="H136" s="17"/>
      <c r="I136" s="25"/>
      <c r="J136" s="18"/>
      <c r="K136" s="18"/>
      <c r="L136" s="18" t="s">
        <v>59</v>
      </c>
      <c r="M136" s="204">
        <f>SUM(M132:M135)</f>
        <v>50</v>
      </c>
      <c r="N136" s="24" t="s">
        <v>30</v>
      </c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80"/>
      <c r="AM136" s="153" t="s">
        <v>120</v>
      </c>
      <c r="AN136" s="159">
        <v>1</v>
      </c>
      <c r="AO136" s="159">
        <v>2</v>
      </c>
      <c r="AP136" s="49">
        <v>3</v>
      </c>
      <c r="AQ136" s="227">
        <v>4</v>
      </c>
      <c r="AR136" s="227">
        <v>5</v>
      </c>
      <c r="AS136" s="228">
        <v>6</v>
      </c>
      <c r="AT136" s="227">
        <v>7</v>
      </c>
      <c r="AU136" s="227">
        <v>8</v>
      </c>
      <c r="AV136" s="228">
        <v>9</v>
      </c>
      <c r="AW136" s="227">
        <v>10</v>
      </c>
      <c r="AX136" s="227">
        <v>11</v>
      </c>
      <c r="AY136" s="228">
        <v>12</v>
      </c>
      <c r="AZ136" s="34" t="s">
        <v>302</v>
      </c>
      <c r="BA136" s="4"/>
      <c r="BB136" s="4"/>
      <c r="BC136" s="4"/>
      <c r="BD136" s="4"/>
      <c r="BE136" s="2"/>
    </row>
    <row r="137" spans="1:57" ht="15">
      <c r="A137" s="17"/>
      <c r="B137" s="17"/>
      <c r="C137" s="17"/>
      <c r="D137" s="17"/>
      <c r="E137" s="17"/>
      <c r="F137" s="17"/>
      <c r="G137" s="17"/>
      <c r="H137" s="17"/>
      <c r="I137" s="25"/>
      <c r="J137" s="18"/>
      <c r="K137" s="18"/>
      <c r="L137" s="18"/>
      <c r="M137" s="18"/>
      <c r="N137" s="24"/>
      <c r="O137" s="35" t="s">
        <v>215</v>
      </c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85" t="str">
        <f>AC8</f>
        <v>ปลายข้าว</v>
      </c>
      <c r="AM137" s="155">
        <f>AD8</f>
        <v>12</v>
      </c>
      <c r="AN137" s="223"/>
      <c r="AO137" s="223"/>
      <c r="AP137" s="64"/>
      <c r="AQ137" s="223"/>
      <c r="AR137" s="223"/>
      <c r="AS137" s="223"/>
      <c r="AT137" s="223"/>
      <c r="AU137" s="223"/>
      <c r="AV137" s="223"/>
      <c r="AW137" s="64"/>
      <c r="AX137" s="223"/>
      <c r="AY137" s="223"/>
      <c r="AZ137" s="17"/>
      <c r="BA137" s="4"/>
      <c r="BB137" s="4"/>
      <c r="BC137" s="4"/>
      <c r="BD137" s="4"/>
      <c r="BE137" s="2"/>
    </row>
    <row r="138" spans="1:57" ht="15.75">
      <c r="A138" s="17"/>
      <c r="B138" s="17"/>
      <c r="C138" s="17"/>
      <c r="D138" s="17"/>
      <c r="E138" s="17"/>
      <c r="F138" s="17"/>
      <c r="G138" s="17"/>
      <c r="H138" s="17"/>
      <c r="I138" s="25" t="s">
        <v>205</v>
      </c>
      <c r="J138" s="18"/>
      <c r="K138" s="18"/>
      <c r="L138" s="18"/>
      <c r="M138" s="18"/>
      <c r="N138" s="24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85" t="str">
        <f t="shared" ref="AL138:AL150" si="21">AC9</f>
        <v>ข้าวโพด</v>
      </c>
      <c r="AM138" s="155">
        <f t="shared" ref="AM138:AM150" si="22">AD9</f>
        <v>8.8000000000000007</v>
      </c>
      <c r="AN138" s="223">
        <v>53.4</v>
      </c>
      <c r="AO138" s="223">
        <v>28.4</v>
      </c>
      <c r="AP138" s="64"/>
      <c r="AQ138" s="223"/>
      <c r="AR138" s="223"/>
      <c r="AS138" s="223">
        <v>59.7</v>
      </c>
      <c r="AT138" s="223">
        <v>52.25</v>
      </c>
      <c r="AU138" s="223">
        <v>30.4</v>
      </c>
      <c r="AV138" s="223">
        <v>55.9</v>
      </c>
      <c r="AW138" s="64"/>
      <c r="AX138" s="223"/>
      <c r="AY138" s="223"/>
      <c r="AZ138" s="34" t="s">
        <v>300</v>
      </c>
      <c r="BA138" s="4"/>
      <c r="BB138" s="4"/>
      <c r="BC138" s="4"/>
      <c r="BD138" s="4"/>
      <c r="BE138" s="2"/>
    </row>
    <row r="139" spans="1:57">
      <c r="A139" s="17"/>
      <c r="B139" s="17"/>
      <c r="C139" s="17"/>
      <c r="D139" s="17"/>
      <c r="E139" s="17"/>
      <c r="F139" s="17"/>
      <c r="G139" s="17"/>
      <c r="H139" s="17"/>
      <c r="I139" s="25"/>
      <c r="J139" s="197" t="s">
        <v>276</v>
      </c>
      <c r="K139" s="198"/>
      <c r="L139" s="198"/>
      <c r="M139" s="199">
        <v>10</v>
      </c>
      <c r="N139" s="24" t="s">
        <v>30</v>
      </c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85" t="str">
        <f t="shared" si="21"/>
        <v>มันสำปะหลัง</v>
      </c>
      <c r="AM139" s="155">
        <f t="shared" si="22"/>
        <v>7.5</v>
      </c>
      <c r="AN139" s="223"/>
      <c r="AO139" s="223">
        <v>25</v>
      </c>
      <c r="AP139" s="64">
        <v>48.5</v>
      </c>
      <c r="AQ139" s="223">
        <v>45</v>
      </c>
      <c r="AR139" s="223">
        <v>50.35</v>
      </c>
      <c r="AS139" s="223"/>
      <c r="AT139" s="223"/>
      <c r="AU139" s="223">
        <v>25</v>
      </c>
      <c r="AV139" s="223"/>
      <c r="AW139" s="64">
        <v>51.5</v>
      </c>
      <c r="AX139" s="223">
        <v>47</v>
      </c>
      <c r="AY139" s="223">
        <v>52.85</v>
      </c>
      <c r="AZ139" s="17"/>
      <c r="BA139" s="4"/>
      <c r="BB139" s="4"/>
      <c r="BC139" s="4"/>
      <c r="BD139" s="4"/>
      <c r="BE139" s="2"/>
    </row>
    <row r="140" spans="1:57" ht="15">
      <c r="A140" s="17"/>
      <c r="B140" s="17"/>
      <c r="C140" s="17"/>
      <c r="D140" s="17"/>
      <c r="E140" s="17"/>
      <c r="F140" s="17"/>
      <c r="G140" s="17"/>
      <c r="H140" s="17"/>
      <c r="I140" s="25"/>
      <c r="J140" s="200" t="s">
        <v>275</v>
      </c>
      <c r="K140" s="189"/>
      <c r="L140" s="189"/>
      <c r="M140" s="201">
        <v>35</v>
      </c>
      <c r="N140" s="24" t="s">
        <v>30</v>
      </c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85" t="str">
        <f t="shared" si="21"/>
        <v>รำละเอียด</v>
      </c>
      <c r="AM140" s="155">
        <f t="shared" si="22"/>
        <v>7.8</v>
      </c>
      <c r="AN140" s="223">
        <v>15</v>
      </c>
      <c r="AO140" s="223">
        <v>10</v>
      </c>
      <c r="AP140" s="64">
        <v>10</v>
      </c>
      <c r="AQ140" s="223"/>
      <c r="AR140" s="223"/>
      <c r="AS140" s="223"/>
      <c r="AT140" s="223"/>
      <c r="AU140" s="223">
        <v>10</v>
      </c>
      <c r="AV140" s="223">
        <v>15</v>
      </c>
      <c r="AW140" s="64">
        <v>10</v>
      </c>
      <c r="AX140" s="223"/>
      <c r="AY140" s="223"/>
      <c r="AZ140" s="34" t="s">
        <v>299</v>
      </c>
      <c r="BA140" s="4"/>
      <c r="BB140" s="4"/>
      <c r="BC140" s="4"/>
      <c r="BD140" s="4"/>
      <c r="BE140" s="2"/>
    </row>
    <row r="141" spans="1:57">
      <c r="A141" s="17"/>
      <c r="B141" s="17"/>
      <c r="C141" s="17"/>
      <c r="D141" s="17"/>
      <c r="E141" s="17"/>
      <c r="F141" s="17"/>
      <c r="G141" s="17"/>
      <c r="H141" s="17"/>
      <c r="I141" s="25"/>
      <c r="J141" s="200" t="s">
        <v>209</v>
      </c>
      <c r="K141" s="189"/>
      <c r="L141" s="189"/>
      <c r="M141" s="201"/>
      <c r="N141" s="24" t="s">
        <v>30</v>
      </c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85" t="str">
        <f t="shared" si="21"/>
        <v>รำสกัด</v>
      </c>
      <c r="AM141" s="155">
        <f t="shared" si="22"/>
        <v>6</v>
      </c>
      <c r="AN141" s="223"/>
      <c r="AO141" s="223"/>
      <c r="AP141" s="64"/>
      <c r="AQ141" s="223"/>
      <c r="AR141" s="223"/>
      <c r="AS141" s="223"/>
      <c r="AT141" s="223"/>
      <c r="AU141" s="223"/>
      <c r="AV141" s="223"/>
      <c r="AW141" s="64"/>
      <c r="AX141" s="223"/>
      <c r="AY141" s="223"/>
      <c r="AZ141" s="17"/>
      <c r="BA141" s="4"/>
      <c r="BB141" s="4"/>
      <c r="BC141" s="4"/>
      <c r="BD141" s="4"/>
      <c r="BE141" s="2"/>
    </row>
    <row r="142" spans="1:57" ht="15">
      <c r="A142" s="17"/>
      <c r="B142" s="17"/>
      <c r="C142" s="17"/>
      <c r="D142" s="17"/>
      <c r="E142" s="17"/>
      <c r="F142" s="17"/>
      <c r="G142" s="17"/>
      <c r="H142" s="17"/>
      <c r="I142" s="25"/>
      <c r="J142" s="202" t="s">
        <v>209</v>
      </c>
      <c r="K142" s="203"/>
      <c r="L142" s="203"/>
      <c r="M142" s="205"/>
      <c r="N142" s="24" t="s">
        <v>30</v>
      </c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85" t="str">
        <f t="shared" si="21"/>
        <v>กากถั่วเหลือง (44%)</v>
      </c>
      <c r="AM142" s="155">
        <f t="shared" si="22"/>
        <v>14</v>
      </c>
      <c r="AN142" s="223">
        <v>23</v>
      </c>
      <c r="AO142" s="223">
        <v>27</v>
      </c>
      <c r="AP142" s="64">
        <v>27</v>
      </c>
      <c r="AQ142" s="223">
        <v>24.5</v>
      </c>
      <c r="AR142" s="223">
        <v>20</v>
      </c>
      <c r="AS142" s="223">
        <v>16</v>
      </c>
      <c r="AT142" s="223">
        <v>21.5</v>
      </c>
      <c r="AU142" s="223"/>
      <c r="AV142" s="223"/>
      <c r="AW142" s="64"/>
      <c r="AX142" s="223"/>
      <c r="AY142" s="223"/>
      <c r="AZ142" s="34" t="s">
        <v>154</v>
      </c>
      <c r="BA142" s="4"/>
      <c r="BB142" s="4"/>
      <c r="BC142" s="4"/>
      <c r="BD142" s="4"/>
      <c r="BE142" s="2"/>
    </row>
    <row r="143" spans="1:57">
      <c r="A143" s="17"/>
      <c r="B143" s="17"/>
      <c r="C143" s="17"/>
      <c r="D143" s="17"/>
      <c r="E143" s="17"/>
      <c r="F143" s="17"/>
      <c r="G143" s="17"/>
      <c r="H143" s="17"/>
      <c r="I143" s="25"/>
      <c r="J143" s="18"/>
      <c r="K143" s="18"/>
      <c r="L143" s="18" t="s">
        <v>59</v>
      </c>
      <c r="M143" s="204">
        <f>SUM(M139:M142)</f>
        <v>45</v>
      </c>
      <c r="N143" s="24" t="s">
        <v>30</v>
      </c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85" t="str">
        <f t="shared" si="21"/>
        <v>กากถั่วเหลือง(49%)</v>
      </c>
      <c r="AM143" s="155">
        <f t="shared" si="22"/>
        <v>15</v>
      </c>
      <c r="AN143" s="223"/>
      <c r="AO143" s="223"/>
      <c r="AP143" s="64"/>
      <c r="AQ143" s="223"/>
      <c r="AR143" s="223"/>
      <c r="AS143" s="223"/>
      <c r="AT143" s="223"/>
      <c r="AU143" s="223">
        <v>25</v>
      </c>
      <c r="AV143" s="223">
        <v>20.5</v>
      </c>
      <c r="AW143" s="64">
        <v>24.5</v>
      </c>
      <c r="AX143" s="223">
        <v>22.5</v>
      </c>
      <c r="AY143" s="223">
        <v>18</v>
      </c>
      <c r="AZ143" s="17"/>
      <c r="BA143" s="4"/>
      <c r="BB143" s="4"/>
      <c r="BC143" s="4"/>
      <c r="BD143" s="4"/>
      <c r="BE143" s="2"/>
    </row>
    <row r="144" spans="1:57" ht="15">
      <c r="A144" s="17"/>
      <c r="B144" s="17"/>
      <c r="C144" s="17"/>
      <c r="D144" s="17"/>
      <c r="E144" s="17"/>
      <c r="F144" s="17"/>
      <c r="G144" s="17"/>
      <c r="H144" s="17"/>
      <c r="I144" s="25"/>
      <c r="J144" s="18"/>
      <c r="K144" s="18"/>
      <c r="L144" s="18"/>
      <c r="M144" s="18"/>
      <c r="N144" s="24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85" t="str">
        <f t="shared" si="21"/>
        <v>ถั่วเหลืองเอ็กทรูด (ถั่วอบ)</v>
      </c>
      <c r="AM144" s="155">
        <f t="shared" si="22"/>
        <v>16</v>
      </c>
      <c r="AN144" s="223">
        <v>5</v>
      </c>
      <c r="AO144" s="223">
        <v>5</v>
      </c>
      <c r="AP144" s="64">
        <v>10</v>
      </c>
      <c r="AQ144" s="223">
        <v>10</v>
      </c>
      <c r="AR144" s="223">
        <v>10</v>
      </c>
      <c r="AS144" s="223">
        <v>5</v>
      </c>
      <c r="AT144" s="223">
        <v>5</v>
      </c>
      <c r="AU144" s="223">
        <v>5</v>
      </c>
      <c r="AV144" s="223">
        <v>5</v>
      </c>
      <c r="AW144" s="64">
        <v>10</v>
      </c>
      <c r="AX144" s="223">
        <v>10</v>
      </c>
      <c r="AY144" s="223">
        <v>10</v>
      </c>
      <c r="AZ144" s="34" t="s">
        <v>155</v>
      </c>
      <c r="BA144" s="4"/>
      <c r="BB144" s="4"/>
      <c r="BC144" s="4"/>
      <c r="BD144" s="4"/>
      <c r="BE144" s="2"/>
    </row>
    <row r="145" spans="1:57" ht="15.75">
      <c r="A145" s="17"/>
      <c r="B145" s="17"/>
      <c r="C145" s="17"/>
      <c r="D145" s="17"/>
      <c r="E145" s="17"/>
      <c r="F145" s="17"/>
      <c r="G145" s="17"/>
      <c r="H145" s="17"/>
      <c r="I145" s="25" t="s">
        <v>206</v>
      </c>
      <c r="J145" s="18"/>
      <c r="K145" s="18"/>
      <c r="L145" s="18"/>
      <c r="M145" s="18"/>
      <c r="N145" s="24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85" t="str">
        <f t="shared" si="21"/>
        <v>ปลาป่น (58%)</v>
      </c>
      <c r="AM145" s="155">
        <f t="shared" si="22"/>
        <v>35</v>
      </c>
      <c r="AN145" s="223"/>
      <c r="AO145" s="223"/>
      <c r="AP145" s="64"/>
      <c r="AQ145" s="223"/>
      <c r="AR145" s="223"/>
      <c r="AS145" s="223"/>
      <c r="AT145" s="223"/>
      <c r="AU145" s="223"/>
      <c r="AV145" s="223"/>
      <c r="AW145" s="64"/>
      <c r="AX145" s="223"/>
      <c r="AY145" s="223"/>
      <c r="AZ145" s="17"/>
      <c r="BA145" s="4"/>
      <c r="BB145" s="4"/>
      <c r="BC145" s="4"/>
      <c r="BD145" s="4"/>
      <c r="BE145" s="2"/>
    </row>
    <row r="146" spans="1:57">
      <c r="A146" s="17"/>
      <c r="B146" s="17"/>
      <c r="C146" s="17"/>
      <c r="D146" s="17"/>
      <c r="E146" s="17"/>
      <c r="F146" s="17"/>
      <c r="G146" s="17"/>
      <c r="H146" s="17"/>
      <c r="I146" s="25"/>
      <c r="J146" s="197" t="s">
        <v>273</v>
      </c>
      <c r="K146" s="198"/>
      <c r="L146" s="198"/>
      <c r="M146" s="199">
        <v>5</v>
      </c>
      <c r="N146" s="24" t="s">
        <v>30</v>
      </c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85" t="str">
        <f t="shared" si="21"/>
        <v>กากเนื้อในปาล์ม</v>
      </c>
      <c r="AM146" s="155">
        <f t="shared" si="22"/>
        <v>8</v>
      </c>
      <c r="AN146" s="223"/>
      <c r="AO146" s="223"/>
      <c r="AP146" s="64"/>
      <c r="AQ146" s="223">
        <v>15</v>
      </c>
      <c r="AR146" s="223"/>
      <c r="AS146" s="223"/>
      <c r="AT146" s="223">
        <v>15</v>
      </c>
      <c r="AU146" s="223"/>
      <c r="AV146" s="223"/>
      <c r="AW146" s="64"/>
      <c r="AX146" s="223">
        <v>15</v>
      </c>
      <c r="AY146" s="223"/>
      <c r="AZ146" s="17"/>
      <c r="BA146" s="4"/>
      <c r="BB146" s="4"/>
      <c r="BC146" s="4"/>
      <c r="BD146" s="4"/>
      <c r="BE146" s="2"/>
    </row>
    <row r="147" spans="1:57">
      <c r="A147" s="17"/>
      <c r="B147" s="17"/>
      <c r="C147" s="17"/>
      <c r="D147" s="17"/>
      <c r="E147" s="17"/>
      <c r="F147" s="17"/>
      <c r="G147" s="17"/>
      <c r="H147" s="17"/>
      <c r="I147" s="25"/>
      <c r="J147" s="200" t="s">
        <v>274</v>
      </c>
      <c r="K147" s="189"/>
      <c r="L147" s="189"/>
      <c r="M147" s="201">
        <v>30</v>
      </c>
      <c r="N147" s="24" t="s">
        <v>30</v>
      </c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85" t="str">
        <f t="shared" si="21"/>
        <v>DDGS</v>
      </c>
      <c r="AM147" s="155">
        <f t="shared" si="22"/>
        <v>9</v>
      </c>
      <c r="AN147" s="223"/>
      <c r="AO147" s="223"/>
      <c r="AP147" s="64"/>
      <c r="AQ147" s="223"/>
      <c r="AR147" s="223">
        <v>15</v>
      </c>
      <c r="AS147" s="223">
        <v>15</v>
      </c>
      <c r="AT147" s="223"/>
      <c r="AU147" s="223"/>
      <c r="AV147" s="223"/>
      <c r="AW147" s="64"/>
      <c r="AX147" s="223"/>
      <c r="AY147" s="223">
        <v>15</v>
      </c>
      <c r="AZ147" s="17"/>
      <c r="BA147" s="4"/>
      <c r="BB147" s="4"/>
      <c r="BC147" s="4"/>
      <c r="BD147" s="4"/>
      <c r="BE147" s="2"/>
    </row>
    <row r="148" spans="1:57" ht="15">
      <c r="A148" s="17"/>
      <c r="B148" s="17"/>
      <c r="C148" s="17"/>
      <c r="D148" s="17"/>
      <c r="E148" s="17"/>
      <c r="F148" s="17"/>
      <c r="G148" s="17"/>
      <c r="H148" s="17"/>
      <c r="I148" s="25"/>
      <c r="J148" s="200" t="s">
        <v>208</v>
      </c>
      <c r="K148" s="189"/>
      <c r="L148" s="189"/>
      <c r="M148" s="201"/>
      <c r="N148" s="24" t="s">
        <v>30</v>
      </c>
      <c r="O148" s="35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85" t="str">
        <f t="shared" si="21"/>
        <v>เวย์ (whey)</v>
      </c>
      <c r="AM148" s="155">
        <f t="shared" si="22"/>
        <v>23</v>
      </c>
      <c r="AN148" s="223"/>
      <c r="AO148" s="223"/>
      <c r="AP148" s="64"/>
      <c r="AQ148" s="223"/>
      <c r="AR148" s="223"/>
      <c r="AS148" s="223"/>
      <c r="AT148" s="223"/>
      <c r="AU148" s="223"/>
      <c r="AV148" s="223"/>
      <c r="AW148" s="64"/>
      <c r="AX148" s="223"/>
      <c r="AY148" s="223"/>
      <c r="AZ148" s="17"/>
      <c r="BA148" s="4"/>
      <c r="BB148" s="4"/>
      <c r="BC148" s="4"/>
      <c r="BD148" s="4"/>
      <c r="BE148" s="2"/>
    </row>
    <row r="149" spans="1:57" ht="15">
      <c r="A149" s="17"/>
      <c r="B149" s="17"/>
      <c r="C149" s="17"/>
      <c r="D149" s="17"/>
      <c r="E149" s="17"/>
      <c r="F149" s="17"/>
      <c r="G149" s="17"/>
      <c r="H149" s="17"/>
      <c r="I149" s="25"/>
      <c r="J149" s="202" t="s">
        <v>208</v>
      </c>
      <c r="K149" s="203"/>
      <c r="L149" s="203"/>
      <c r="M149" s="205"/>
      <c r="N149" s="24" t="s">
        <v>30</v>
      </c>
      <c r="O149" s="34" t="s">
        <v>305</v>
      </c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85" t="str">
        <f t="shared" si="21"/>
        <v>กากคาโนล่า</v>
      </c>
      <c r="AM149" s="155">
        <f t="shared" si="22"/>
        <v>15</v>
      </c>
      <c r="AN149" s="223"/>
      <c r="AO149" s="223"/>
      <c r="AP149" s="64"/>
      <c r="AQ149" s="223"/>
      <c r="AR149" s="223"/>
      <c r="AS149" s="223"/>
      <c r="AT149" s="223"/>
      <c r="AU149" s="223"/>
      <c r="AV149" s="223"/>
      <c r="AW149" s="64"/>
      <c r="AX149" s="223"/>
      <c r="AY149" s="223"/>
      <c r="AZ149" s="35" t="s">
        <v>215</v>
      </c>
      <c r="BA149" s="4"/>
      <c r="BB149" s="4"/>
      <c r="BC149" s="4"/>
      <c r="BD149" s="4"/>
      <c r="BE149" s="2"/>
    </row>
    <row r="150" spans="1:57">
      <c r="A150" s="17"/>
      <c r="B150" s="17"/>
      <c r="C150" s="17"/>
      <c r="D150" s="17"/>
      <c r="E150" s="17"/>
      <c r="F150" s="17"/>
      <c r="G150" s="17"/>
      <c r="H150" s="17"/>
      <c r="I150" s="25"/>
      <c r="J150" s="18"/>
      <c r="K150" s="18"/>
      <c r="L150" s="18" t="s">
        <v>59</v>
      </c>
      <c r="M150" s="204">
        <f>SUM(M146:M149)</f>
        <v>35</v>
      </c>
      <c r="N150" s="24" t="s">
        <v>30</v>
      </c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85" t="str">
        <f t="shared" si="21"/>
        <v>น้ำมันรำ</v>
      </c>
      <c r="AM150" s="155">
        <f t="shared" si="22"/>
        <v>25</v>
      </c>
      <c r="AN150" s="223"/>
      <c r="AO150" s="223">
        <v>1</v>
      </c>
      <c r="AP150" s="64">
        <v>1</v>
      </c>
      <c r="AQ150" s="223">
        <v>2</v>
      </c>
      <c r="AR150" s="223">
        <v>1</v>
      </c>
      <c r="AS150" s="223">
        <v>0.5</v>
      </c>
      <c r="AT150" s="223">
        <v>2.5</v>
      </c>
      <c r="AU150" s="223">
        <v>1</v>
      </c>
      <c r="AV150" s="223"/>
      <c r="AW150" s="64">
        <v>0.5</v>
      </c>
      <c r="AX150" s="223">
        <v>2</v>
      </c>
      <c r="AY150" s="223">
        <v>0.5</v>
      </c>
      <c r="AZ150" s="17"/>
      <c r="BA150" s="4"/>
      <c r="BB150" s="4"/>
      <c r="BC150" s="4"/>
      <c r="BD150" s="4"/>
      <c r="BE150" s="2"/>
    </row>
    <row r="151" spans="1:57">
      <c r="A151" s="17"/>
      <c r="B151" s="17"/>
      <c r="C151" s="17"/>
      <c r="D151" s="17"/>
      <c r="E151" s="17"/>
      <c r="F151" s="17"/>
      <c r="G151" s="17"/>
      <c r="H151" s="17"/>
      <c r="I151" s="25"/>
      <c r="J151" s="18"/>
      <c r="K151" s="18"/>
      <c r="L151" s="18"/>
      <c r="M151" s="18"/>
      <c r="N151" s="24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85" t="str">
        <f t="shared" ref="AL151:AM158" si="23">AC22</f>
        <v>เปลือกหอย/หินปูน</v>
      </c>
      <c r="AM151" s="155">
        <f t="shared" si="23"/>
        <v>2.5</v>
      </c>
      <c r="AN151" s="223">
        <v>0.3</v>
      </c>
      <c r="AO151" s="223">
        <v>0.3</v>
      </c>
      <c r="AP151" s="64">
        <v>0.2</v>
      </c>
      <c r="AQ151" s="223">
        <v>0.1</v>
      </c>
      <c r="AR151" s="223">
        <v>0.1</v>
      </c>
      <c r="AS151" s="223">
        <v>0.4</v>
      </c>
      <c r="AT151" s="223">
        <v>0.3</v>
      </c>
      <c r="AU151" s="223">
        <v>0.3</v>
      </c>
      <c r="AV151" s="223">
        <v>0.3</v>
      </c>
      <c r="AW151" s="64">
        <v>0.2</v>
      </c>
      <c r="AX151" s="223">
        <v>0.1</v>
      </c>
      <c r="AY151" s="223">
        <v>0.1</v>
      </c>
      <c r="AZ151" s="17"/>
      <c r="BA151" s="4"/>
      <c r="BB151" s="4"/>
      <c r="BC151" s="4"/>
      <c r="BD151" s="4"/>
    </row>
    <row r="152" spans="1:57" ht="15.75">
      <c r="A152" s="17"/>
      <c r="B152" s="17"/>
      <c r="C152" s="17"/>
      <c r="D152" s="17"/>
      <c r="E152" s="17"/>
      <c r="F152" s="17"/>
      <c r="G152" s="17"/>
      <c r="H152" s="17"/>
      <c r="I152" s="25" t="s">
        <v>207</v>
      </c>
      <c r="J152" s="18"/>
      <c r="K152" s="18"/>
      <c r="L152" s="18"/>
      <c r="M152" s="18"/>
      <c r="N152" s="24"/>
      <c r="O152" s="35" t="s">
        <v>215</v>
      </c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85" t="str">
        <f t="shared" si="23"/>
        <v>ไดแคลเซี่ยมฟอสเฟต</v>
      </c>
      <c r="AM152" s="155">
        <f t="shared" si="23"/>
        <v>13</v>
      </c>
      <c r="AN152" s="223">
        <v>2.5</v>
      </c>
      <c r="AO152" s="223">
        <v>2.5</v>
      </c>
      <c r="AP152" s="64">
        <v>2.5</v>
      </c>
      <c r="AQ152" s="223">
        <v>2.6</v>
      </c>
      <c r="AR152" s="223">
        <v>2.6</v>
      </c>
      <c r="AS152" s="223">
        <v>2.4</v>
      </c>
      <c r="AT152" s="223">
        <v>2.6</v>
      </c>
      <c r="AU152" s="223">
        <v>2.5</v>
      </c>
      <c r="AV152" s="223">
        <v>2.5</v>
      </c>
      <c r="AW152" s="64">
        <v>2.5</v>
      </c>
      <c r="AX152" s="223">
        <v>2.6</v>
      </c>
      <c r="AY152" s="223">
        <v>2.6</v>
      </c>
      <c r="AZ152" s="17"/>
      <c r="BA152" s="4"/>
      <c r="BB152" s="4"/>
      <c r="BC152" s="4"/>
      <c r="BD152" s="4"/>
    </row>
    <row r="153" spans="1:57">
      <c r="A153" s="17"/>
      <c r="B153" s="17"/>
      <c r="C153" s="17"/>
      <c r="D153" s="17"/>
      <c r="E153" s="17"/>
      <c r="F153" s="17"/>
      <c r="G153" s="17"/>
      <c r="H153" s="17"/>
      <c r="I153" s="25"/>
      <c r="J153" s="206" t="s">
        <v>276</v>
      </c>
      <c r="K153" s="198"/>
      <c r="L153" s="198"/>
      <c r="M153" s="199">
        <v>10</v>
      </c>
      <c r="N153" s="24" t="s">
        <v>30</v>
      </c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85" t="str">
        <f t="shared" si="23"/>
        <v>โมโนแคลเซี่ยมฟอสเฟต</v>
      </c>
      <c r="AM153" s="155">
        <f t="shared" si="23"/>
        <v>18</v>
      </c>
      <c r="AN153" s="223"/>
      <c r="AO153" s="223"/>
      <c r="AP153" s="64"/>
      <c r="AQ153" s="223"/>
      <c r="AR153" s="223"/>
      <c r="AS153" s="223"/>
      <c r="AT153" s="223"/>
      <c r="AU153" s="223"/>
      <c r="AV153" s="223"/>
      <c r="AW153" s="64"/>
      <c r="AX153" s="223"/>
      <c r="AY153" s="223"/>
      <c r="AZ153" s="17"/>
      <c r="BA153" s="4"/>
      <c r="BB153" s="4"/>
      <c r="BC153" s="4"/>
      <c r="BD153" s="4"/>
    </row>
    <row r="154" spans="1:57">
      <c r="A154" s="17"/>
      <c r="B154" s="17"/>
      <c r="C154" s="17"/>
      <c r="D154" s="17"/>
      <c r="E154" s="17"/>
      <c r="F154" s="17"/>
      <c r="G154" s="17"/>
      <c r="H154" s="17"/>
      <c r="I154" s="25"/>
      <c r="J154" s="207" t="s">
        <v>275</v>
      </c>
      <c r="K154" s="189"/>
      <c r="L154" s="189"/>
      <c r="M154" s="201">
        <v>35</v>
      </c>
      <c r="N154" s="24" t="s">
        <v>30</v>
      </c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85" t="str">
        <f t="shared" si="23"/>
        <v>เกลือ</v>
      </c>
      <c r="AM154" s="155">
        <f t="shared" si="23"/>
        <v>1.5</v>
      </c>
      <c r="AN154" s="223">
        <v>0.35</v>
      </c>
      <c r="AO154" s="223">
        <v>0.35</v>
      </c>
      <c r="AP154" s="64">
        <v>0.35</v>
      </c>
      <c r="AQ154" s="223">
        <v>0.35</v>
      </c>
      <c r="AR154" s="223">
        <v>0.35</v>
      </c>
      <c r="AS154" s="223">
        <v>0.35</v>
      </c>
      <c r="AT154" s="223">
        <v>0.35</v>
      </c>
      <c r="AU154" s="223">
        <v>0.35</v>
      </c>
      <c r="AV154" s="223">
        <v>0.35</v>
      </c>
      <c r="AW154" s="64">
        <v>0.35</v>
      </c>
      <c r="AX154" s="223">
        <v>0.35</v>
      </c>
      <c r="AY154" s="223">
        <v>0.35</v>
      </c>
      <c r="AZ154" s="17"/>
      <c r="BA154" s="4"/>
      <c r="BB154" s="4"/>
      <c r="BC154" s="4"/>
      <c r="BD154" s="4"/>
    </row>
    <row r="155" spans="1:57">
      <c r="A155" s="17"/>
      <c r="B155" s="17"/>
      <c r="C155" s="17"/>
      <c r="D155" s="17"/>
      <c r="E155" s="17"/>
      <c r="F155" s="17"/>
      <c r="G155" s="17"/>
      <c r="H155" s="17"/>
      <c r="I155" s="25"/>
      <c r="J155" s="207" t="s">
        <v>278</v>
      </c>
      <c r="K155" s="189"/>
      <c r="L155" s="189"/>
      <c r="M155" s="201">
        <v>9</v>
      </c>
      <c r="N155" s="24" t="s">
        <v>30</v>
      </c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85" t="str">
        <f t="shared" si="23"/>
        <v>แอล-ไลซีน</v>
      </c>
      <c r="AM155" s="155">
        <f t="shared" si="23"/>
        <v>80</v>
      </c>
      <c r="AN155" s="223">
        <v>0.1</v>
      </c>
      <c r="AO155" s="223">
        <v>0.05</v>
      </c>
      <c r="AP155" s="64"/>
      <c r="AQ155" s="223"/>
      <c r="AR155" s="223">
        <v>0.15</v>
      </c>
      <c r="AS155" s="223">
        <v>0.3</v>
      </c>
      <c r="AT155" s="223">
        <v>0.15</v>
      </c>
      <c r="AU155" s="223">
        <v>0.05</v>
      </c>
      <c r="AV155" s="223">
        <v>0.1</v>
      </c>
      <c r="AW155" s="64"/>
      <c r="AX155" s="223"/>
      <c r="AY155" s="223">
        <v>0.15</v>
      </c>
      <c r="AZ155" s="17"/>
      <c r="BA155" s="4"/>
      <c r="BB155" s="4"/>
      <c r="BC155" s="4"/>
      <c r="BD155" s="4"/>
    </row>
    <row r="156" spans="1:57">
      <c r="A156" s="17"/>
      <c r="B156" s="17"/>
      <c r="C156" s="17"/>
      <c r="D156" s="17"/>
      <c r="E156" s="17"/>
      <c r="F156" s="17"/>
      <c r="G156" s="17"/>
      <c r="H156" s="17"/>
      <c r="I156" s="25"/>
      <c r="J156" s="207" t="s">
        <v>279</v>
      </c>
      <c r="K156" s="189"/>
      <c r="L156" s="208"/>
      <c r="M156" s="209">
        <v>17</v>
      </c>
      <c r="N156" s="24" t="s">
        <v>30</v>
      </c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85" t="str">
        <f t="shared" si="23"/>
        <v>ดีแอล-เมทไธโอนีน</v>
      </c>
      <c r="AM156" s="155">
        <f t="shared" si="23"/>
        <v>130</v>
      </c>
      <c r="AN156" s="223">
        <v>0.05</v>
      </c>
      <c r="AO156" s="223">
        <v>0.1</v>
      </c>
      <c r="AP156" s="64">
        <v>0.15</v>
      </c>
      <c r="AQ156" s="223">
        <v>0.15</v>
      </c>
      <c r="AR156" s="223">
        <v>0.15</v>
      </c>
      <c r="AS156" s="223">
        <v>0.05</v>
      </c>
      <c r="AT156" s="223">
        <v>0.05</v>
      </c>
      <c r="AU156" s="223">
        <v>0.1</v>
      </c>
      <c r="AV156" s="223">
        <v>0.05</v>
      </c>
      <c r="AW156" s="64">
        <v>0.15</v>
      </c>
      <c r="AX156" s="223">
        <v>0.15</v>
      </c>
      <c r="AY156" s="223">
        <v>0.15</v>
      </c>
      <c r="AZ156" s="17"/>
      <c r="BA156" s="4"/>
      <c r="BB156" s="4"/>
      <c r="BC156" s="4"/>
      <c r="BD156" s="4"/>
    </row>
    <row r="157" spans="1:57">
      <c r="A157" s="17"/>
      <c r="B157" s="17"/>
      <c r="C157" s="17"/>
      <c r="D157" s="17"/>
      <c r="E157" s="17"/>
      <c r="F157" s="17"/>
      <c r="G157" s="17"/>
      <c r="H157" s="17"/>
      <c r="I157" s="25"/>
      <c r="J157" s="210" t="s">
        <v>280</v>
      </c>
      <c r="K157" s="203"/>
      <c r="L157" s="211"/>
      <c r="M157" s="205">
        <v>60</v>
      </c>
      <c r="N157" s="24" t="s">
        <v>30</v>
      </c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85" t="str">
        <f t="shared" si="23"/>
        <v>แอล-ทรีโอนีน</v>
      </c>
      <c r="AM157" s="155">
        <f t="shared" si="23"/>
        <v>130</v>
      </c>
      <c r="AN157" s="223">
        <v>0.05</v>
      </c>
      <c r="AO157" s="223">
        <v>0.05</v>
      </c>
      <c r="AP157" s="64">
        <v>0.05</v>
      </c>
      <c r="AQ157" s="223">
        <v>0.05</v>
      </c>
      <c r="AR157" s="223">
        <v>0.05</v>
      </c>
      <c r="AS157" s="223">
        <v>0.05</v>
      </c>
      <c r="AT157" s="223">
        <v>0.05</v>
      </c>
      <c r="AU157" s="223">
        <v>0.05</v>
      </c>
      <c r="AV157" s="223">
        <v>0.05</v>
      </c>
      <c r="AW157" s="64">
        <v>0.06</v>
      </c>
      <c r="AX157" s="223">
        <v>0.05</v>
      </c>
      <c r="AY157" s="223">
        <v>7.0000000000000007E-2</v>
      </c>
      <c r="AZ157" s="17"/>
      <c r="BA157" s="4"/>
      <c r="BB157" s="4"/>
      <c r="BC157" s="4"/>
      <c r="BD157" s="4"/>
    </row>
    <row r="158" spans="1:57">
      <c r="A158" s="17"/>
      <c r="B158" s="17"/>
      <c r="C158" s="17"/>
      <c r="D158" s="17"/>
      <c r="E158" s="17"/>
      <c r="F158" s="17"/>
      <c r="G158" s="17"/>
      <c r="H158" s="17"/>
      <c r="I158" s="25"/>
      <c r="J158" s="18"/>
      <c r="K158" s="18"/>
      <c r="L158" s="18" t="s">
        <v>59</v>
      </c>
      <c r="M158" s="204">
        <f>SUM(M153:M157)</f>
        <v>131</v>
      </c>
      <c r="N158" s="24" t="s">
        <v>30</v>
      </c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85" t="str">
        <f t="shared" si="23"/>
        <v>พรีมิกซ์</v>
      </c>
      <c r="AM158" s="155">
        <f t="shared" si="23"/>
        <v>50</v>
      </c>
      <c r="AN158" s="212">
        <v>0.25</v>
      </c>
      <c r="AO158" s="212">
        <v>0.25</v>
      </c>
      <c r="AP158" s="212">
        <v>0.25</v>
      </c>
      <c r="AQ158" s="212">
        <v>0.25</v>
      </c>
      <c r="AR158" s="212">
        <v>0.25</v>
      </c>
      <c r="AS158" s="212">
        <v>0.25</v>
      </c>
      <c r="AT158" s="212">
        <v>0.25</v>
      </c>
      <c r="AU158" s="212">
        <v>0.25</v>
      </c>
      <c r="AV158" s="212">
        <v>0.25</v>
      </c>
      <c r="AW158" s="212">
        <v>0.25</v>
      </c>
      <c r="AX158" s="212">
        <v>0.25</v>
      </c>
      <c r="AY158" s="212">
        <v>0.25</v>
      </c>
      <c r="AZ158" s="17"/>
      <c r="BA158" s="4"/>
      <c r="BB158" s="4"/>
      <c r="BC158" s="4"/>
      <c r="BD158" s="4"/>
    </row>
    <row r="159" spans="1:57">
      <c r="A159" s="17"/>
      <c r="B159" s="17"/>
      <c r="C159" s="17"/>
      <c r="D159" s="17"/>
      <c r="E159" s="17"/>
      <c r="F159" s="17"/>
      <c r="G159" s="17"/>
      <c r="H159" s="17"/>
      <c r="I159" s="30"/>
      <c r="J159" s="31"/>
      <c r="K159" s="31"/>
      <c r="L159" s="31"/>
      <c r="M159" s="31"/>
      <c r="N159" s="32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6" t="s">
        <v>59</v>
      </c>
      <c r="AM159" s="176"/>
      <c r="AN159" s="159">
        <f t="shared" ref="AN159:AY159" si="24">SUM(AN137:AN158)</f>
        <v>99.999999999999986</v>
      </c>
      <c r="AO159" s="159">
        <f t="shared" si="24"/>
        <v>99.999999999999986</v>
      </c>
      <c r="AP159" s="159">
        <f t="shared" si="24"/>
        <v>100</v>
      </c>
      <c r="AQ159" s="159">
        <f t="shared" si="24"/>
        <v>99.999999999999986</v>
      </c>
      <c r="AR159" s="159">
        <f t="shared" si="24"/>
        <v>99.999999999999986</v>
      </c>
      <c r="AS159" s="159">
        <f t="shared" si="24"/>
        <v>100</v>
      </c>
      <c r="AT159" s="159">
        <f t="shared" si="24"/>
        <v>99.999999999999986</v>
      </c>
      <c r="AU159" s="159">
        <f t="shared" si="24"/>
        <v>99.999999999999986</v>
      </c>
      <c r="AV159" s="159">
        <f t="shared" si="24"/>
        <v>99.999999999999986</v>
      </c>
      <c r="AW159" s="159">
        <f t="shared" si="24"/>
        <v>100.01</v>
      </c>
      <c r="AX159" s="159">
        <f t="shared" si="24"/>
        <v>99.999999999999986</v>
      </c>
      <c r="AY159" s="159">
        <f t="shared" si="24"/>
        <v>100.01999999999998</v>
      </c>
      <c r="AZ159" s="17"/>
      <c r="BA159" s="4"/>
      <c r="BB159" s="4"/>
      <c r="BC159" s="4"/>
      <c r="BD159" s="4"/>
    </row>
    <row r="160" spans="1:57" ht="1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35" t="s">
        <v>215</v>
      </c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6" t="s">
        <v>284</v>
      </c>
      <c r="AM160" s="176"/>
      <c r="AN160" s="15">
        <f t="shared" ref="AN160:AY160" si="25">($AM137*AN137+$AM138*AN138+$AM139*AN139+$AM140*AN140+$AM141*AN141+$AM142*AN142+$AM143*AN143+$AM144*AN144+$AM145*AN145+$AM146*AN146+$AM147*AN147+$AM148*AN148+$AM149*AN149+$AM150*AN150+$AM152*AN152+$AM153*AN153+$AM154*AN154+$AM155*AN155+$AM156*AN156+$AM157*AN157+$AM158*AN158)/AN159</f>
        <v>10.554450000000003</v>
      </c>
      <c r="AO160" s="15">
        <f t="shared" si="25"/>
        <v>10.674450000000004</v>
      </c>
      <c r="AP160" s="15">
        <f t="shared" si="25"/>
        <v>10.76275</v>
      </c>
      <c r="AQ160" s="15">
        <f t="shared" si="25"/>
        <v>10.833250000000001</v>
      </c>
      <c r="AR160" s="15">
        <f t="shared" si="25"/>
        <v>10.624499999999999</v>
      </c>
      <c r="AS160" s="15">
        <f t="shared" si="25"/>
        <v>10.58085</v>
      </c>
      <c r="AT160" s="15">
        <f t="shared" si="25"/>
        <v>10.951250000000002</v>
      </c>
      <c r="AU160" s="15">
        <f t="shared" si="25"/>
        <v>10.820450000000003</v>
      </c>
      <c r="AV160" s="15">
        <f t="shared" si="25"/>
        <v>10.629450000000004</v>
      </c>
      <c r="AW160" s="15">
        <f t="shared" si="25"/>
        <v>10.76967303269673</v>
      </c>
      <c r="AX160" s="15">
        <f t="shared" si="25"/>
        <v>10.928250000000002</v>
      </c>
      <c r="AY160" s="15">
        <f t="shared" si="25"/>
        <v>10.610877824435113</v>
      </c>
      <c r="AZ160" s="17"/>
      <c r="BA160" s="4"/>
      <c r="BB160" s="4"/>
      <c r="BC160" s="4"/>
      <c r="BD160" s="4"/>
    </row>
    <row r="161" spans="1:56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4"/>
      <c r="BB161" s="4"/>
      <c r="BC161" s="4"/>
      <c r="BD161" s="4"/>
    </row>
    <row r="162" spans="1:56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</row>
    <row r="163" spans="1:56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77"/>
      <c r="AM163" s="41" t="s">
        <v>188</v>
      </c>
      <c r="AN163" s="232" t="s">
        <v>225</v>
      </c>
      <c r="AO163" s="233"/>
      <c r="AP163" s="233"/>
      <c r="AQ163" s="233"/>
      <c r="AR163" s="233"/>
      <c r="AS163" s="233"/>
      <c r="AT163" s="233"/>
      <c r="AU163" s="233"/>
      <c r="AV163" s="233"/>
      <c r="AW163" s="233"/>
      <c r="AX163" s="233"/>
      <c r="AY163" s="234"/>
      <c r="AZ163" s="17"/>
    </row>
    <row r="164" spans="1:56" ht="1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80"/>
      <c r="AM164" s="153" t="s">
        <v>120</v>
      </c>
      <c r="AN164" s="159">
        <v>1</v>
      </c>
      <c r="AO164" s="159">
        <v>2</v>
      </c>
      <c r="AP164" s="49">
        <v>3</v>
      </c>
      <c r="AQ164" s="227">
        <v>4</v>
      </c>
      <c r="AR164" s="227">
        <v>5</v>
      </c>
      <c r="AS164" s="228">
        <v>6</v>
      </c>
      <c r="AT164" s="227">
        <v>7</v>
      </c>
      <c r="AU164" s="227">
        <v>8</v>
      </c>
      <c r="AV164" s="228">
        <v>9</v>
      </c>
      <c r="AW164" s="227">
        <v>10</v>
      </c>
      <c r="AX164" s="227">
        <v>11</v>
      </c>
      <c r="AY164" s="228">
        <v>12</v>
      </c>
      <c r="AZ164" s="34" t="s">
        <v>302</v>
      </c>
    </row>
    <row r="165" spans="1:56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85" t="str">
        <f>AC8</f>
        <v>ปลายข้าว</v>
      </c>
      <c r="AM165" s="155">
        <f>AD8</f>
        <v>12</v>
      </c>
      <c r="AN165" s="223">
        <v>58.6</v>
      </c>
      <c r="AO165" s="223">
        <v>23.55</v>
      </c>
      <c r="AP165" s="223">
        <v>24.55</v>
      </c>
      <c r="AQ165" s="223"/>
      <c r="AR165" s="223"/>
      <c r="AS165" s="223">
        <v>59.1</v>
      </c>
      <c r="AT165" s="223">
        <v>51.1</v>
      </c>
      <c r="AU165" s="223">
        <v>21.55</v>
      </c>
      <c r="AV165" s="223">
        <v>22.7</v>
      </c>
      <c r="AW165" s="223"/>
      <c r="AX165" s="223"/>
      <c r="AY165" s="223"/>
      <c r="AZ165" s="17"/>
    </row>
    <row r="166" spans="1:56" ht="1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85" t="str">
        <f t="shared" ref="AL166:AL178" si="26">AC9</f>
        <v>ข้าวโพด</v>
      </c>
      <c r="AM166" s="155">
        <f t="shared" ref="AM166:AM178" si="27">AD9</f>
        <v>8.8000000000000007</v>
      </c>
      <c r="AN166" s="223"/>
      <c r="AO166" s="223"/>
      <c r="AP166" s="223"/>
      <c r="AQ166" s="223"/>
      <c r="AR166" s="223"/>
      <c r="AS166" s="223"/>
      <c r="AT166" s="223"/>
      <c r="AU166" s="223"/>
      <c r="AV166" s="223"/>
      <c r="AW166" s="223"/>
      <c r="AX166" s="223"/>
      <c r="AY166" s="223"/>
      <c r="AZ166" s="34" t="s">
        <v>300</v>
      </c>
    </row>
    <row r="167" spans="1:56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85" t="str">
        <f t="shared" si="26"/>
        <v>มันสำปะหลัง</v>
      </c>
      <c r="AM167" s="155">
        <f t="shared" si="27"/>
        <v>7.5</v>
      </c>
      <c r="AN167" s="223"/>
      <c r="AO167" s="223">
        <v>30</v>
      </c>
      <c r="AP167" s="223">
        <v>30</v>
      </c>
      <c r="AQ167" s="223">
        <v>50.2</v>
      </c>
      <c r="AR167" s="223">
        <v>51.15</v>
      </c>
      <c r="AS167" s="223"/>
      <c r="AT167" s="223"/>
      <c r="AU167" s="223">
        <v>30</v>
      </c>
      <c r="AV167" s="223">
        <v>30</v>
      </c>
      <c r="AW167" s="223">
        <v>48.7</v>
      </c>
      <c r="AX167" s="223">
        <v>49.65</v>
      </c>
      <c r="AY167" s="223">
        <v>42.65</v>
      </c>
      <c r="AZ167" s="17"/>
    </row>
    <row r="168" spans="1:56" ht="1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85" t="str">
        <f t="shared" si="26"/>
        <v>รำละเอียด</v>
      </c>
      <c r="AM168" s="155">
        <f t="shared" si="27"/>
        <v>7.8</v>
      </c>
      <c r="AN168" s="223">
        <v>20</v>
      </c>
      <c r="AO168" s="223">
        <v>20</v>
      </c>
      <c r="AP168" s="223"/>
      <c r="AQ168" s="223">
        <v>20</v>
      </c>
      <c r="AR168" s="223"/>
      <c r="AS168" s="223"/>
      <c r="AT168" s="223">
        <v>30</v>
      </c>
      <c r="AU168" s="223">
        <v>25</v>
      </c>
      <c r="AV168" s="223"/>
      <c r="AW168" s="223">
        <v>25</v>
      </c>
      <c r="AX168" s="223"/>
      <c r="AY168" s="223">
        <v>15</v>
      </c>
      <c r="AZ168" s="34" t="s">
        <v>299</v>
      </c>
    </row>
    <row r="169" spans="1:56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85" t="str">
        <f t="shared" si="26"/>
        <v>รำสกัด</v>
      </c>
      <c r="AM169" s="155">
        <f t="shared" si="27"/>
        <v>6</v>
      </c>
      <c r="AN169" s="223"/>
      <c r="AO169" s="223"/>
      <c r="AP169" s="223"/>
      <c r="AQ169" s="223"/>
      <c r="AR169" s="223"/>
      <c r="AS169" s="223"/>
      <c r="AT169" s="223"/>
      <c r="AU169" s="223"/>
      <c r="AV169" s="223"/>
      <c r="AW169" s="223"/>
      <c r="AX169" s="223"/>
      <c r="AY169" s="223"/>
      <c r="AZ169" s="17"/>
    </row>
    <row r="170" spans="1:56" ht="1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85" t="str">
        <f t="shared" si="26"/>
        <v>กากถั่วเหลือง (44%)</v>
      </c>
      <c r="AM170" s="155">
        <f t="shared" si="27"/>
        <v>14</v>
      </c>
      <c r="AN170" s="223">
        <v>18</v>
      </c>
      <c r="AO170" s="223">
        <v>23</v>
      </c>
      <c r="AP170" s="223">
        <v>21</v>
      </c>
      <c r="AQ170" s="223">
        <v>26.5</v>
      </c>
      <c r="AR170" s="223">
        <v>24.5</v>
      </c>
      <c r="AS170" s="223">
        <v>16.5</v>
      </c>
      <c r="AT170" s="223"/>
      <c r="AU170" s="223"/>
      <c r="AV170" s="223"/>
      <c r="AW170" s="223"/>
      <c r="AX170" s="223"/>
      <c r="AY170" s="223"/>
      <c r="AZ170" s="34" t="s">
        <v>301</v>
      </c>
    </row>
    <row r="171" spans="1:56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85" t="str">
        <f t="shared" si="26"/>
        <v>กากถั่วเหลือง(49%)</v>
      </c>
      <c r="AM171" s="155">
        <f t="shared" si="27"/>
        <v>15</v>
      </c>
      <c r="AN171" s="223"/>
      <c r="AO171" s="223"/>
      <c r="AP171" s="223"/>
      <c r="AQ171" s="223"/>
      <c r="AR171" s="223"/>
      <c r="AS171" s="223"/>
      <c r="AT171" s="223">
        <v>15.5</v>
      </c>
      <c r="AU171" s="223">
        <v>20</v>
      </c>
      <c r="AV171" s="223">
        <v>18</v>
      </c>
      <c r="AW171" s="223">
        <v>23</v>
      </c>
      <c r="AX171" s="223">
        <v>21</v>
      </c>
      <c r="AY171" s="223">
        <v>19</v>
      </c>
      <c r="AZ171" s="17"/>
    </row>
    <row r="172" spans="1:56" ht="1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85" t="str">
        <f t="shared" si="26"/>
        <v>ถั่วเหลืองเอ็กทรูด (ถั่วอบ)</v>
      </c>
      <c r="AM172" s="155">
        <f t="shared" si="27"/>
        <v>16</v>
      </c>
      <c r="AN172" s="223"/>
      <c r="AO172" s="223"/>
      <c r="AP172" s="223"/>
      <c r="AQ172" s="223"/>
      <c r="AR172" s="223"/>
      <c r="AS172" s="223"/>
      <c r="AT172" s="223"/>
      <c r="AU172" s="223"/>
      <c r="AV172" s="223"/>
      <c r="AW172" s="223"/>
      <c r="AX172" s="223"/>
      <c r="AY172" s="223"/>
      <c r="AZ172" s="34" t="s">
        <v>155</v>
      </c>
    </row>
    <row r="173" spans="1:56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85" t="str">
        <f t="shared" si="26"/>
        <v>ปลาป่น (58%)</v>
      </c>
      <c r="AM173" s="155">
        <f t="shared" si="27"/>
        <v>35</v>
      </c>
      <c r="AN173" s="223"/>
      <c r="AO173" s="223"/>
      <c r="AP173" s="223"/>
      <c r="AQ173" s="223"/>
      <c r="AR173" s="223"/>
      <c r="AS173" s="223"/>
      <c r="AT173" s="223"/>
      <c r="AU173" s="223"/>
      <c r="AV173" s="223"/>
      <c r="AW173" s="223"/>
      <c r="AX173" s="223"/>
      <c r="AY173" s="223"/>
      <c r="AZ173" s="17"/>
    </row>
    <row r="174" spans="1:56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85" t="str">
        <f t="shared" si="26"/>
        <v>กากเนื้อในปาล์ม</v>
      </c>
      <c r="AM174" s="155">
        <f t="shared" si="27"/>
        <v>8</v>
      </c>
      <c r="AN174" s="223"/>
      <c r="AO174" s="223"/>
      <c r="AP174" s="223">
        <v>20</v>
      </c>
      <c r="AQ174" s="223"/>
      <c r="AR174" s="223">
        <v>20</v>
      </c>
      <c r="AS174" s="223">
        <v>20</v>
      </c>
      <c r="AT174" s="223"/>
      <c r="AU174" s="223"/>
      <c r="AV174" s="223">
        <v>25</v>
      </c>
      <c r="AW174" s="223"/>
      <c r="AX174" s="223">
        <v>25</v>
      </c>
      <c r="AY174" s="223">
        <v>20</v>
      </c>
      <c r="AZ174" s="17"/>
    </row>
    <row r="175" spans="1:56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85" t="str">
        <f t="shared" si="26"/>
        <v>DDGS</v>
      </c>
      <c r="AM175" s="155">
        <f t="shared" si="27"/>
        <v>9</v>
      </c>
      <c r="AN175" s="223"/>
      <c r="AO175" s="223"/>
      <c r="AP175" s="223"/>
      <c r="AQ175" s="223"/>
      <c r="AR175" s="223"/>
      <c r="AS175" s="223"/>
      <c r="AT175" s="223"/>
      <c r="AU175" s="223"/>
      <c r="AV175" s="223"/>
      <c r="AW175" s="223"/>
      <c r="AX175" s="223"/>
      <c r="AY175" s="223"/>
      <c r="AZ175" s="17"/>
    </row>
    <row r="176" spans="1:56" ht="1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85" t="str">
        <f t="shared" si="26"/>
        <v>เวย์ (whey)</v>
      </c>
      <c r="AM176" s="155">
        <f t="shared" si="27"/>
        <v>23</v>
      </c>
      <c r="AN176" s="223"/>
      <c r="AO176" s="223"/>
      <c r="AP176" s="223"/>
      <c r="AQ176" s="223"/>
      <c r="AR176" s="223"/>
      <c r="AS176" s="223"/>
      <c r="AT176" s="223"/>
      <c r="AU176" s="223"/>
      <c r="AV176" s="223"/>
      <c r="AW176" s="223"/>
      <c r="AX176" s="223"/>
      <c r="AY176" s="223"/>
      <c r="AZ176" s="35" t="s">
        <v>215</v>
      </c>
    </row>
    <row r="177" spans="1:5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85" t="str">
        <f t="shared" si="26"/>
        <v>กากคาโนล่า</v>
      </c>
      <c r="AM177" s="155">
        <f t="shared" si="27"/>
        <v>15</v>
      </c>
      <c r="AN177" s="223"/>
      <c r="AO177" s="223"/>
      <c r="AP177" s="223"/>
      <c r="AQ177" s="223"/>
      <c r="AR177" s="223"/>
      <c r="AS177" s="223"/>
      <c r="AT177" s="223"/>
      <c r="AU177" s="223"/>
      <c r="AV177" s="223"/>
      <c r="AW177" s="223"/>
      <c r="AX177" s="223"/>
      <c r="AY177" s="223"/>
      <c r="AZ177" s="17"/>
    </row>
    <row r="178" spans="1:5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85" t="str">
        <f t="shared" si="26"/>
        <v>น้ำมันรำ</v>
      </c>
      <c r="AM178" s="155">
        <f t="shared" si="27"/>
        <v>25</v>
      </c>
      <c r="AN178" s="223"/>
      <c r="AO178" s="223"/>
      <c r="AP178" s="223">
        <v>1</v>
      </c>
      <c r="AQ178" s="223"/>
      <c r="AR178" s="223">
        <v>1</v>
      </c>
      <c r="AS178" s="223">
        <v>1</v>
      </c>
      <c r="AT178" s="223"/>
      <c r="AU178" s="223"/>
      <c r="AV178" s="223">
        <v>1</v>
      </c>
      <c r="AW178" s="223"/>
      <c r="AX178" s="223">
        <v>1</v>
      </c>
      <c r="AY178" s="223"/>
      <c r="AZ178" s="17"/>
    </row>
    <row r="179" spans="1:5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85" t="str">
        <f t="shared" ref="AL179:AM186" si="28">AC22</f>
        <v>เปลือกหอย/หินปูน</v>
      </c>
      <c r="AM179" s="155">
        <f t="shared" si="28"/>
        <v>2.5</v>
      </c>
      <c r="AN179" s="223">
        <v>0.3</v>
      </c>
      <c r="AO179" s="223">
        <v>0.3</v>
      </c>
      <c r="AP179" s="223">
        <v>0.1</v>
      </c>
      <c r="AQ179" s="223">
        <v>0.15</v>
      </c>
      <c r="AR179" s="223"/>
      <c r="AS179" s="223">
        <v>0.3</v>
      </c>
      <c r="AT179" s="223">
        <v>0.3</v>
      </c>
      <c r="AU179" s="223">
        <v>0.3</v>
      </c>
      <c r="AV179" s="223"/>
      <c r="AW179" s="223">
        <v>0.15</v>
      </c>
      <c r="AX179" s="223"/>
      <c r="AY179" s="223"/>
      <c r="AZ179" s="17"/>
    </row>
    <row r="180" spans="1:5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85" t="str">
        <f t="shared" si="28"/>
        <v>ไดแคลเซี่ยมฟอสเฟต</v>
      </c>
      <c r="AM180" s="155">
        <f t="shared" si="28"/>
        <v>13</v>
      </c>
      <c r="AN180" s="223">
        <v>2.5</v>
      </c>
      <c r="AO180" s="223">
        <v>2.5</v>
      </c>
      <c r="AP180" s="223">
        <v>2.7</v>
      </c>
      <c r="AQ180" s="223">
        <v>2.5</v>
      </c>
      <c r="AR180" s="223">
        <v>2.7</v>
      </c>
      <c r="AS180" s="223">
        <v>2.5</v>
      </c>
      <c r="AT180" s="223">
        <v>2.5</v>
      </c>
      <c r="AU180" s="223">
        <v>2.5</v>
      </c>
      <c r="AV180" s="223">
        <v>2.7</v>
      </c>
      <c r="AW180" s="223">
        <v>2.5</v>
      </c>
      <c r="AX180" s="223">
        <v>2.7</v>
      </c>
      <c r="AY180" s="223">
        <v>2.7</v>
      </c>
      <c r="AZ180" s="17"/>
    </row>
    <row r="181" spans="1:5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85" t="str">
        <f t="shared" si="28"/>
        <v>โมโนแคลเซี่ยมฟอสเฟต</v>
      </c>
      <c r="AM181" s="155">
        <f t="shared" si="28"/>
        <v>18</v>
      </c>
      <c r="AN181" s="223"/>
      <c r="AO181" s="223"/>
      <c r="AP181" s="223"/>
      <c r="AQ181" s="223"/>
      <c r="AR181" s="223"/>
      <c r="AS181" s="223"/>
      <c r="AT181" s="223"/>
      <c r="AU181" s="223"/>
      <c r="AV181" s="223"/>
      <c r="AW181" s="223"/>
      <c r="AX181" s="223"/>
      <c r="AY181" s="223"/>
      <c r="AZ181" s="17"/>
    </row>
    <row r="182" spans="1:5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85" t="str">
        <f t="shared" si="28"/>
        <v>เกลือ</v>
      </c>
      <c r="AM182" s="155">
        <f t="shared" si="28"/>
        <v>1.5</v>
      </c>
      <c r="AN182" s="223">
        <v>0.35</v>
      </c>
      <c r="AO182" s="223">
        <v>0.35</v>
      </c>
      <c r="AP182" s="223">
        <v>0.35</v>
      </c>
      <c r="AQ182" s="223">
        <v>0.35</v>
      </c>
      <c r="AR182" s="223">
        <v>0.35</v>
      </c>
      <c r="AS182" s="223">
        <v>0.35</v>
      </c>
      <c r="AT182" s="223">
        <v>0.35</v>
      </c>
      <c r="AU182" s="223">
        <v>0.35</v>
      </c>
      <c r="AV182" s="223">
        <v>0.35</v>
      </c>
      <c r="AW182" s="223">
        <v>0.35</v>
      </c>
      <c r="AX182" s="223">
        <v>0.35</v>
      </c>
      <c r="AY182" s="223">
        <v>0.35</v>
      </c>
      <c r="AZ182" s="17"/>
    </row>
    <row r="183" spans="1:5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85" t="str">
        <f t="shared" si="28"/>
        <v>แอล-ไลซีน</v>
      </c>
      <c r="AM183" s="155">
        <f t="shared" si="28"/>
        <v>80</v>
      </c>
      <c r="AN183" s="223"/>
      <c r="AO183" s="223"/>
      <c r="AP183" s="223"/>
      <c r="AQ183" s="223"/>
      <c r="AR183" s="223"/>
      <c r="AS183" s="223"/>
      <c r="AT183" s="223"/>
      <c r="AU183" s="223"/>
      <c r="AV183" s="223"/>
      <c r="AW183" s="223"/>
      <c r="AX183" s="223"/>
      <c r="AY183" s="223"/>
      <c r="AZ183" s="17"/>
    </row>
    <row r="184" spans="1:5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85" t="str">
        <f t="shared" si="28"/>
        <v>ดีแอล-เมทไธโอนีน</v>
      </c>
      <c r="AM184" s="155">
        <f t="shared" si="28"/>
        <v>130</v>
      </c>
      <c r="AN184" s="223"/>
      <c r="AO184" s="223">
        <v>0.05</v>
      </c>
      <c r="AP184" s="223">
        <v>0.05</v>
      </c>
      <c r="AQ184" s="223">
        <v>0.05</v>
      </c>
      <c r="AR184" s="223">
        <v>0.05</v>
      </c>
      <c r="AS184" s="223"/>
      <c r="AT184" s="223"/>
      <c r="AU184" s="223">
        <v>0.05</v>
      </c>
      <c r="AV184" s="223"/>
      <c r="AW184" s="223">
        <v>0.05</v>
      </c>
      <c r="AX184" s="223">
        <v>0.05</v>
      </c>
      <c r="AY184" s="223">
        <v>0.05</v>
      </c>
      <c r="AZ184" s="17"/>
    </row>
    <row r="185" spans="1:5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85" t="str">
        <f t="shared" si="28"/>
        <v>แอล-ทรีโอนีน</v>
      </c>
      <c r="AM185" s="155">
        <f t="shared" si="28"/>
        <v>130</v>
      </c>
      <c r="AN185" s="223"/>
      <c r="AO185" s="223"/>
      <c r="AP185" s="223"/>
      <c r="AQ185" s="223"/>
      <c r="AR185" s="223"/>
      <c r="AS185" s="223"/>
      <c r="AT185" s="223"/>
      <c r="AU185" s="223"/>
      <c r="AV185" s="223"/>
      <c r="AW185" s="223"/>
      <c r="AX185" s="223"/>
      <c r="AY185" s="223"/>
      <c r="AZ185" s="17"/>
    </row>
    <row r="186" spans="1:5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85" t="str">
        <f t="shared" si="28"/>
        <v>พรีมิกซ์</v>
      </c>
      <c r="AM186" s="155">
        <f t="shared" si="28"/>
        <v>50</v>
      </c>
      <c r="AN186" s="63">
        <v>0.25</v>
      </c>
      <c r="AO186" s="64">
        <v>0.25</v>
      </c>
      <c r="AP186" s="64">
        <v>0.25</v>
      </c>
      <c r="AQ186" s="64">
        <v>0.25</v>
      </c>
      <c r="AR186" s="64">
        <v>0.25</v>
      </c>
      <c r="AS186" s="64">
        <v>0.25</v>
      </c>
      <c r="AT186" s="64">
        <v>0.25</v>
      </c>
      <c r="AU186" s="64">
        <v>0.25</v>
      </c>
      <c r="AV186" s="64">
        <v>0.25</v>
      </c>
      <c r="AW186" s="64">
        <v>0.25</v>
      </c>
      <c r="AX186" s="64">
        <v>0.25</v>
      </c>
      <c r="AY186" s="64">
        <v>0.25</v>
      </c>
      <c r="AZ186" s="17"/>
    </row>
    <row r="187" spans="1:5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6" t="s">
        <v>59</v>
      </c>
      <c r="AM187" s="176"/>
      <c r="AN187" s="159">
        <f t="shared" ref="AN187:AY187" si="29">SUM(AN165:AN186)</f>
        <v>99.999999999999986</v>
      </c>
      <c r="AO187" s="159">
        <f t="shared" si="29"/>
        <v>99.999999999999986</v>
      </c>
      <c r="AP187" s="159">
        <f t="shared" si="29"/>
        <v>99.999999999999986</v>
      </c>
      <c r="AQ187" s="159">
        <f t="shared" si="29"/>
        <v>100</v>
      </c>
      <c r="AR187" s="159">
        <f t="shared" si="29"/>
        <v>100</v>
      </c>
      <c r="AS187" s="159">
        <f t="shared" si="29"/>
        <v>99.999999999999986</v>
      </c>
      <c r="AT187" s="159">
        <f t="shared" si="29"/>
        <v>99.999999999999986</v>
      </c>
      <c r="AU187" s="159">
        <f t="shared" si="29"/>
        <v>99.999999999999986</v>
      </c>
      <c r="AV187" s="159">
        <f t="shared" si="29"/>
        <v>100</v>
      </c>
      <c r="AW187" s="159">
        <f t="shared" si="29"/>
        <v>100</v>
      </c>
      <c r="AX187" s="159">
        <f t="shared" si="29"/>
        <v>100</v>
      </c>
      <c r="AY187" s="159">
        <f t="shared" si="29"/>
        <v>100</v>
      </c>
      <c r="AZ187" s="17"/>
    </row>
    <row r="188" spans="1:5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6" t="s">
        <v>284</v>
      </c>
      <c r="AM188" s="176"/>
      <c r="AN188" s="15">
        <f t="shared" ref="AN188:AY188" si="30">($AM165*AN165+$AM166*AN166+$AM167*AN167+$AM168*AN168+$AM169*AN169+$AM170*AN170+$AM171*AN171+$AM172*AN172+$AM173*AN173+$AM174*AN174+$AM175*AN175+$AM176*AN176+$AM177*AN177+$AM178*AN178+$AM180*AN180+$AM181*AN181+$AM182*AN182+$AM183*AN183+$AM184*AN184+$AM185*AN185+$AM186*AN186)/AN187</f>
        <v>11.567250000000003</v>
      </c>
      <c r="AO188" s="15">
        <f t="shared" si="30"/>
        <v>10.376250000000001</v>
      </c>
      <c r="AP188" s="15">
        <f t="shared" si="30"/>
        <v>10.532250000000003</v>
      </c>
      <c r="AQ188" s="15">
        <f t="shared" si="30"/>
        <v>9.5552499999999991</v>
      </c>
      <c r="AR188" s="15">
        <f t="shared" si="30"/>
        <v>9.6624999999999996</v>
      </c>
      <c r="AS188" s="15">
        <f t="shared" si="30"/>
        <v>11.707250000000004</v>
      </c>
      <c r="AT188" s="15">
        <f t="shared" si="30"/>
        <v>11.252250000000004</v>
      </c>
      <c r="AU188" s="15">
        <f t="shared" si="30"/>
        <v>10.306250000000002</v>
      </c>
      <c r="AV188" s="15">
        <f t="shared" si="30"/>
        <v>10.405250000000001</v>
      </c>
      <c r="AW188" s="15">
        <f t="shared" si="30"/>
        <v>9.5727499999999992</v>
      </c>
      <c r="AX188" s="15">
        <f t="shared" si="30"/>
        <v>9.67</v>
      </c>
      <c r="AY188" s="15">
        <f t="shared" si="30"/>
        <v>9.3650000000000002</v>
      </c>
      <c r="AZ188" s="17"/>
    </row>
    <row r="189" spans="1:5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</row>
    <row r="190" spans="1:5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</row>
    <row r="191" spans="1:5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77"/>
      <c r="AM191" s="41" t="s">
        <v>188</v>
      </c>
      <c r="AN191" s="232" t="s">
        <v>226</v>
      </c>
      <c r="AO191" s="233"/>
      <c r="AP191" s="233"/>
      <c r="AQ191" s="233"/>
      <c r="AR191" s="233"/>
      <c r="AS191" s="233"/>
      <c r="AT191" s="233"/>
      <c r="AU191" s="233"/>
      <c r="AV191" s="233"/>
      <c r="AW191" s="233"/>
      <c r="AX191" s="233"/>
      <c r="AY191" s="234"/>
      <c r="AZ191" s="17"/>
    </row>
    <row r="192" spans="1:52" ht="1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80"/>
      <c r="AM192" s="153" t="s">
        <v>120</v>
      </c>
      <c r="AN192" s="159">
        <v>1</v>
      </c>
      <c r="AO192" s="159">
        <v>2</v>
      </c>
      <c r="AP192" s="49">
        <v>3</v>
      </c>
      <c r="AQ192" s="227">
        <v>4</v>
      </c>
      <c r="AR192" s="227">
        <v>5</v>
      </c>
      <c r="AS192" s="228">
        <v>6</v>
      </c>
      <c r="AT192" s="227">
        <v>7</v>
      </c>
      <c r="AU192" s="227">
        <v>8</v>
      </c>
      <c r="AV192" s="228">
        <v>9</v>
      </c>
      <c r="AW192" s="227">
        <v>10</v>
      </c>
      <c r="AX192" s="227">
        <v>11</v>
      </c>
      <c r="AY192" s="228">
        <v>12</v>
      </c>
      <c r="AZ192" s="34" t="s">
        <v>302</v>
      </c>
    </row>
    <row r="193" spans="1:5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85" t="str">
        <f>AC8</f>
        <v>ปลายข้าว</v>
      </c>
      <c r="AM193" s="155">
        <f>AD8</f>
        <v>12</v>
      </c>
      <c r="AN193" s="223">
        <v>52.1</v>
      </c>
      <c r="AO193" s="223">
        <v>17.55</v>
      </c>
      <c r="AP193" s="223"/>
      <c r="AQ193" s="223"/>
      <c r="AR193" s="223">
        <v>54.65</v>
      </c>
      <c r="AS193" s="223">
        <v>20.05</v>
      </c>
      <c r="AT193" s="223"/>
      <c r="AU193" s="223"/>
      <c r="AV193" s="64">
        <v>1</v>
      </c>
      <c r="AW193" s="64">
        <v>1</v>
      </c>
      <c r="AX193" s="64">
        <v>1</v>
      </c>
      <c r="AY193" s="64">
        <v>1</v>
      </c>
      <c r="AZ193" s="17"/>
    </row>
    <row r="194" spans="1:52" ht="1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85" t="str">
        <f t="shared" ref="AL194:AL206" si="31">AC9</f>
        <v>ข้าวโพด</v>
      </c>
      <c r="AM194" s="155">
        <f t="shared" ref="AM194:AM206" si="32">AD9</f>
        <v>8.8000000000000007</v>
      </c>
      <c r="AN194" s="223"/>
      <c r="AO194" s="223"/>
      <c r="AP194" s="223"/>
      <c r="AQ194" s="223"/>
      <c r="AR194" s="223"/>
      <c r="AS194" s="223"/>
      <c r="AT194" s="223"/>
      <c r="AU194" s="223"/>
      <c r="AV194" s="64"/>
      <c r="AW194" s="64"/>
      <c r="AX194" s="64"/>
      <c r="AY194" s="64"/>
      <c r="AZ194" s="34" t="s">
        <v>300</v>
      </c>
    </row>
    <row r="195" spans="1:5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85" t="str">
        <f t="shared" si="31"/>
        <v>มันสำปะหลัง</v>
      </c>
      <c r="AM195" s="155">
        <f t="shared" si="32"/>
        <v>7.5</v>
      </c>
      <c r="AN195" s="223"/>
      <c r="AO195" s="223">
        <v>30</v>
      </c>
      <c r="AP195" s="223">
        <v>45</v>
      </c>
      <c r="AQ195" s="223">
        <v>44.5</v>
      </c>
      <c r="AR195" s="223"/>
      <c r="AS195" s="223">
        <v>30</v>
      </c>
      <c r="AT195" s="223">
        <v>47.5</v>
      </c>
      <c r="AU195" s="223">
        <v>46.5</v>
      </c>
      <c r="AV195" s="64"/>
      <c r="AW195" s="64"/>
      <c r="AX195" s="64"/>
      <c r="AY195" s="64"/>
      <c r="AZ195" s="17"/>
    </row>
    <row r="196" spans="1:52" ht="1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85" t="str">
        <f t="shared" si="31"/>
        <v>รำละเอียด</v>
      </c>
      <c r="AM196" s="155">
        <f t="shared" si="32"/>
        <v>7.8</v>
      </c>
      <c r="AN196" s="223">
        <v>15</v>
      </c>
      <c r="AO196" s="223">
        <v>15</v>
      </c>
      <c r="AP196" s="223">
        <v>15</v>
      </c>
      <c r="AQ196" s="223"/>
      <c r="AR196" s="223">
        <v>15</v>
      </c>
      <c r="AS196" s="223">
        <v>15</v>
      </c>
      <c r="AT196" s="223">
        <v>15</v>
      </c>
      <c r="AU196" s="223"/>
      <c r="AV196" s="64"/>
      <c r="AW196" s="64"/>
      <c r="AX196" s="64"/>
      <c r="AY196" s="64"/>
      <c r="AZ196" s="34" t="s">
        <v>299</v>
      </c>
    </row>
    <row r="197" spans="1:5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85" t="str">
        <f t="shared" si="31"/>
        <v>รำสกัด</v>
      </c>
      <c r="AM197" s="155">
        <f t="shared" si="32"/>
        <v>6</v>
      </c>
      <c r="AN197" s="223"/>
      <c r="AO197" s="223"/>
      <c r="AP197" s="223"/>
      <c r="AQ197" s="223"/>
      <c r="AR197" s="223"/>
      <c r="AS197" s="223"/>
      <c r="AT197" s="223"/>
      <c r="AU197" s="223"/>
      <c r="AV197" s="64"/>
      <c r="AW197" s="64"/>
      <c r="AX197" s="64"/>
      <c r="AY197" s="64"/>
      <c r="AZ197" s="17"/>
    </row>
    <row r="198" spans="1:52" ht="1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85" t="str">
        <f t="shared" si="31"/>
        <v>กากถั่วเหลือง (44%)</v>
      </c>
      <c r="AM198" s="155">
        <f t="shared" si="32"/>
        <v>14</v>
      </c>
      <c r="AN198" s="223">
        <v>19</v>
      </c>
      <c r="AO198" s="223">
        <v>23.5</v>
      </c>
      <c r="AP198" s="223">
        <v>26</v>
      </c>
      <c r="AQ198" s="223">
        <v>24.5</v>
      </c>
      <c r="AR198" s="223"/>
      <c r="AS198" s="223"/>
      <c r="AT198" s="223"/>
      <c r="AU198" s="223"/>
      <c r="AV198" s="64"/>
      <c r="AW198" s="64"/>
      <c r="AX198" s="64"/>
      <c r="AY198" s="64"/>
      <c r="AZ198" s="34" t="s">
        <v>301</v>
      </c>
    </row>
    <row r="199" spans="1:5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85" t="str">
        <f t="shared" si="31"/>
        <v>กากถั่วเหลือง(49%)</v>
      </c>
      <c r="AM199" s="155">
        <f t="shared" si="32"/>
        <v>15</v>
      </c>
      <c r="AN199" s="223"/>
      <c r="AO199" s="223"/>
      <c r="AP199" s="223"/>
      <c r="AQ199" s="223"/>
      <c r="AR199" s="223">
        <v>16.5</v>
      </c>
      <c r="AS199" s="223">
        <v>21</v>
      </c>
      <c r="AT199" s="223">
        <v>23.5</v>
      </c>
      <c r="AU199" s="223">
        <v>22.5</v>
      </c>
      <c r="AV199" s="63"/>
      <c r="AW199" s="63"/>
      <c r="AX199" s="63"/>
      <c r="AY199" s="63"/>
      <c r="AZ199" s="17"/>
    </row>
    <row r="200" spans="1:52" ht="1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85" t="str">
        <f t="shared" si="31"/>
        <v>ถั่วเหลืองเอ็กทรูด (ถั่วอบ)</v>
      </c>
      <c r="AM200" s="155">
        <f t="shared" si="32"/>
        <v>16</v>
      </c>
      <c r="AN200" s="223">
        <v>10</v>
      </c>
      <c r="AO200" s="223">
        <v>10</v>
      </c>
      <c r="AP200" s="223">
        <v>10</v>
      </c>
      <c r="AQ200" s="223">
        <v>10</v>
      </c>
      <c r="AR200" s="223">
        <v>10</v>
      </c>
      <c r="AS200" s="223">
        <v>10</v>
      </c>
      <c r="AT200" s="223">
        <v>10</v>
      </c>
      <c r="AU200" s="223">
        <v>10</v>
      </c>
      <c r="AV200" s="63"/>
      <c r="AW200" s="63"/>
      <c r="AX200" s="63"/>
      <c r="AY200" s="63"/>
      <c r="AZ200" s="34" t="s">
        <v>154</v>
      </c>
    </row>
    <row r="201" spans="1:5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85" t="str">
        <f t="shared" si="31"/>
        <v>ปลาป่น (58%)</v>
      </c>
      <c r="AM201" s="155">
        <f t="shared" si="32"/>
        <v>35</v>
      </c>
      <c r="AN201" s="223"/>
      <c r="AO201" s="223"/>
      <c r="AP201" s="223"/>
      <c r="AQ201" s="223"/>
      <c r="AR201" s="223"/>
      <c r="AS201" s="223"/>
      <c r="AT201" s="223"/>
      <c r="AU201" s="223"/>
      <c r="AV201" s="63"/>
      <c r="AW201" s="63"/>
      <c r="AX201" s="63"/>
      <c r="AY201" s="63"/>
      <c r="AZ201" s="17"/>
    </row>
    <row r="202" spans="1:5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85" t="str">
        <f t="shared" si="31"/>
        <v>กากเนื้อในปาล์ม</v>
      </c>
      <c r="AM202" s="155">
        <f t="shared" si="32"/>
        <v>8</v>
      </c>
      <c r="AN202" s="223"/>
      <c r="AO202" s="223"/>
      <c r="AP202" s="223"/>
      <c r="AQ202" s="223">
        <v>15</v>
      </c>
      <c r="AR202" s="223"/>
      <c r="AS202" s="223"/>
      <c r="AT202" s="223"/>
      <c r="AU202" s="223">
        <v>15</v>
      </c>
      <c r="AV202" s="63"/>
      <c r="AW202" s="63"/>
      <c r="AX202" s="63"/>
      <c r="AY202" s="63"/>
      <c r="AZ202" s="17"/>
    </row>
    <row r="203" spans="1:5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85" t="str">
        <f t="shared" si="31"/>
        <v>DDGS</v>
      </c>
      <c r="AM203" s="155">
        <f t="shared" si="32"/>
        <v>9</v>
      </c>
      <c r="AN203" s="223"/>
      <c r="AO203" s="223"/>
      <c r="AP203" s="223"/>
      <c r="AQ203" s="223"/>
      <c r="AR203" s="223"/>
      <c r="AS203" s="223"/>
      <c r="AT203" s="223"/>
      <c r="AU203" s="223"/>
      <c r="AV203" s="63"/>
      <c r="AW203" s="63"/>
      <c r="AX203" s="63"/>
      <c r="AY203" s="63"/>
      <c r="AZ203" s="17"/>
    </row>
    <row r="204" spans="1:5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85" t="str">
        <f t="shared" si="31"/>
        <v>เวย์ (whey)</v>
      </c>
      <c r="AM204" s="155">
        <f t="shared" si="32"/>
        <v>23</v>
      </c>
      <c r="AN204" s="223"/>
      <c r="AO204" s="223"/>
      <c r="AP204" s="223"/>
      <c r="AQ204" s="223"/>
      <c r="AR204" s="223"/>
      <c r="AS204" s="223"/>
      <c r="AT204" s="223"/>
      <c r="AU204" s="223"/>
      <c r="AV204" s="63"/>
      <c r="AW204" s="63"/>
      <c r="AX204" s="63"/>
      <c r="AY204" s="63"/>
      <c r="AZ204" s="17"/>
    </row>
    <row r="205" spans="1:52" ht="1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85" t="str">
        <f t="shared" si="31"/>
        <v>กากคาโนล่า</v>
      </c>
      <c r="AM205" s="155">
        <f t="shared" si="32"/>
        <v>15</v>
      </c>
      <c r="AN205" s="223"/>
      <c r="AO205" s="223"/>
      <c r="AP205" s="223"/>
      <c r="AQ205" s="223"/>
      <c r="AR205" s="223"/>
      <c r="AS205" s="223"/>
      <c r="AT205" s="223"/>
      <c r="AU205" s="223"/>
      <c r="AV205" s="63"/>
      <c r="AW205" s="63"/>
      <c r="AX205" s="63"/>
      <c r="AY205" s="63"/>
      <c r="AZ205" s="35" t="s">
        <v>215</v>
      </c>
    </row>
    <row r="206" spans="1:5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85" t="str">
        <f t="shared" si="31"/>
        <v>น้ำมันรำ</v>
      </c>
      <c r="AM206" s="155">
        <f t="shared" si="32"/>
        <v>25</v>
      </c>
      <c r="AN206" s="223"/>
      <c r="AO206" s="223"/>
      <c r="AP206" s="223"/>
      <c r="AQ206" s="223">
        <v>2</v>
      </c>
      <c r="AR206" s="223"/>
      <c r="AS206" s="223"/>
      <c r="AT206" s="223"/>
      <c r="AU206" s="223">
        <v>2</v>
      </c>
      <c r="AV206" s="63"/>
      <c r="AW206" s="63"/>
      <c r="AX206" s="63"/>
      <c r="AY206" s="63"/>
      <c r="AZ206" s="17"/>
    </row>
    <row r="207" spans="1:5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85" t="str">
        <f t="shared" ref="AL207:AM214" si="33">AC22</f>
        <v>เปลือกหอย/หินปูน</v>
      </c>
      <c r="AM207" s="155">
        <f t="shared" si="33"/>
        <v>2.5</v>
      </c>
      <c r="AN207" s="223">
        <v>0.2</v>
      </c>
      <c r="AO207" s="223">
        <v>0.2</v>
      </c>
      <c r="AP207" s="223">
        <v>0.2</v>
      </c>
      <c r="AQ207" s="223"/>
      <c r="AR207" s="223">
        <v>0.2</v>
      </c>
      <c r="AS207" s="223">
        <v>0.2</v>
      </c>
      <c r="AT207" s="223">
        <v>0.2</v>
      </c>
      <c r="AU207" s="223"/>
      <c r="AV207" s="63"/>
      <c r="AW207" s="63"/>
      <c r="AX207" s="63"/>
      <c r="AY207" s="63"/>
      <c r="AZ207" s="17"/>
    </row>
    <row r="208" spans="1:5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85" t="str">
        <f t="shared" si="33"/>
        <v>ไดแคลเซี่ยมฟอสเฟต</v>
      </c>
      <c r="AM208" s="155">
        <f t="shared" si="33"/>
        <v>13</v>
      </c>
      <c r="AN208" s="223">
        <v>3</v>
      </c>
      <c r="AO208" s="223">
        <v>3</v>
      </c>
      <c r="AP208" s="223">
        <v>3</v>
      </c>
      <c r="AQ208" s="223">
        <v>3.2</v>
      </c>
      <c r="AR208" s="223">
        <v>3</v>
      </c>
      <c r="AS208" s="223">
        <v>3</v>
      </c>
      <c r="AT208" s="223">
        <v>3</v>
      </c>
      <c r="AU208" s="223">
        <v>3.2</v>
      </c>
      <c r="AV208" s="63"/>
      <c r="AW208" s="63"/>
      <c r="AX208" s="63"/>
      <c r="AY208" s="63"/>
      <c r="AZ208" s="17"/>
    </row>
    <row r="209" spans="1:5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85" t="str">
        <f t="shared" si="33"/>
        <v>โมโนแคลเซี่ยมฟอสเฟต</v>
      </c>
      <c r="AM209" s="155">
        <f t="shared" si="33"/>
        <v>18</v>
      </c>
      <c r="AN209" s="223"/>
      <c r="AO209" s="223"/>
      <c r="AP209" s="223"/>
      <c r="AQ209" s="223"/>
      <c r="AR209" s="223"/>
      <c r="AS209" s="223"/>
      <c r="AT209" s="223"/>
      <c r="AU209" s="223"/>
      <c r="AV209" s="63"/>
      <c r="AW209" s="63"/>
      <c r="AX209" s="63"/>
      <c r="AY209" s="63"/>
      <c r="AZ209" s="17"/>
    </row>
    <row r="210" spans="1:5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85" t="str">
        <f t="shared" si="33"/>
        <v>เกลือ</v>
      </c>
      <c r="AM210" s="155">
        <f t="shared" si="33"/>
        <v>1.5</v>
      </c>
      <c r="AN210" s="223">
        <v>0.35</v>
      </c>
      <c r="AO210" s="223">
        <v>0.35</v>
      </c>
      <c r="AP210" s="223">
        <v>0.35</v>
      </c>
      <c r="AQ210" s="223">
        <v>0.35</v>
      </c>
      <c r="AR210" s="223">
        <v>0.35</v>
      </c>
      <c r="AS210" s="223">
        <v>0.35</v>
      </c>
      <c r="AT210" s="223">
        <v>0.35</v>
      </c>
      <c r="AU210" s="223">
        <v>0.35</v>
      </c>
      <c r="AV210" s="63"/>
      <c r="AW210" s="63"/>
      <c r="AX210" s="63"/>
      <c r="AY210" s="63"/>
      <c r="AZ210" s="17"/>
    </row>
    <row r="211" spans="1:5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85" t="str">
        <f t="shared" si="33"/>
        <v>แอล-ไลซีน</v>
      </c>
      <c r="AM211" s="155">
        <f t="shared" si="33"/>
        <v>80</v>
      </c>
      <c r="AN211" s="223"/>
      <c r="AO211" s="223"/>
      <c r="AP211" s="223"/>
      <c r="AQ211" s="223"/>
      <c r="AR211" s="223"/>
      <c r="AS211" s="223"/>
      <c r="AT211" s="223"/>
      <c r="AU211" s="223"/>
      <c r="AV211" s="63"/>
      <c r="AW211" s="63"/>
      <c r="AX211" s="63"/>
      <c r="AY211" s="63"/>
      <c r="AZ211" s="17"/>
    </row>
    <row r="212" spans="1:5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85" t="str">
        <f t="shared" si="33"/>
        <v>ดีแอล-เมทไธโอนีน</v>
      </c>
      <c r="AM212" s="155">
        <f t="shared" si="33"/>
        <v>130</v>
      </c>
      <c r="AN212" s="223">
        <v>0.1</v>
      </c>
      <c r="AO212" s="223">
        <v>0.15</v>
      </c>
      <c r="AP212" s="223">
        <v>0.2</v>
      </c>
      <c r="AQ212" s="223">
        <v>0.2</v>
      </c>
      <c r="AR212" s="223">
        <v>0.05</v>
      </c>
      <c r="AS212" s="223">
        <v>0.15</v>
      </c>
      <c r="AT212" s="223">
        <v>0.2</v>
      </c>
      <c r="AU212" s="223">
        <v>0.2</v>
      </c>
      <c r="AV212" s="63"/>
      <c r="AW212" s="63"/>
      <c r="AX212" s="63"/>
      <c r="AY212" s="63"/>
      <c r="AZ212" s="17"/>
    </row>
    <row r="213" spans="1:5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85" t="str">
        <f t="shared" si="33"/>
        <v>แอล-ทรีโอนีน</v>
      </c>
      <c r="AM213" s="155">
        <f t="shared" si="33"/>
        <v>130</v>
      </c>
      <c r="AN213" s="223"/>
      <c r="AO213" s="223"/>
      <c r="AP213" s="223"/>
      <c r="AQ213" s="223"/>
      <c r="AR213" s="223"/>
      <c r="AS213" s="223"/>
      <c r="AT213" s="223"/>
      <c r="AU213" s="223"/>
      <c r="AV213" s="63"/>
      <c r="AW213" s="63"/>
      <c r="AX213" s="63"/>
      <c r="AY213" s="63"/>
      <c r="AZ213" s="17"/>
    </row>
    <row r="214" spans="1:5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85" t="str">
        <f t="shared" si="33"/>
        <v>พรีมิกซ์</v>
      </c>
      <c r="AM214" s="155">
        <f t="shared" si="33"/>
        <v>50</v>
      </c>
      <c r="AN214" s="64">
        <v>0.25</v>
      </c>
      <c r="AO214" s="64">
        <v>0.25</v>
      </c>
      <c r="AP214" s="64">
        <v>0.25</v>
      </c>
      <c r="AQ214" s="64">
        <v>0.25</v>
      </c>
      <c r="AR214" s="64">
        <v>0.25</v>
      </c>
      <c r="AS214" s="64">
        <v>0.25</v>
      </c>
      <c r="AT214" s="64">
        <v>0.25</v>
      </c>
      <c r="AU214" s="64">
        <v>0.25</v>
      </c>
      <c r="AV214" s="63"/>
      <c r="AW214" s="63"/>
      <c r="AX214" s="63"/>
      <c r="AY214" s="63"/>
      <c r="AZ214" s="17"/>
    </row>
    <row r="215" spans="1:5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6" t="s">
        <v>59</v>
      </c>
      <c r="AM215" s="176"/>
      <c r="AN215" s="159">
        <f t="shared" ref="AN215:AY215" si="34">SUM(AN193:AN214)</f>
        <v>99.999999999999986</v>
      </c>
      <c r="AO215" s="159">
        <f t="shared" si="34"/>
        <v>100</v>
      </c>
      <c r="AP215" s="159">
        <f t="shared" si="34"/>
        <v>100</v>
      </c>
      <c r="AQ215" s="159">
        <f t="shared" si="34"/>
        <v>100</v>
      </c>
      <c r="AR215" s="159">
        <f t="shared" si="34"/>
        <v>100</v>
      </c>
      <c r="AS215" s="159">
        <f t="shared" si="34"/>
        <v>100</v>
      </c>
      <c r="AT215" s="159">
        <f t="shared" si="34"/>
        <v>100</v>
      </c>
      <c r="AU215" s="159">
        <f t="shared" si="34"/>
        <v>100</v>
      </c>
      <c r="AV215" s="159">
        <f t="shared" si="34"/>
        <v>1</v>
      </c>
      <c r="AW215" s="159">
        <f t="shared" si="34"/>
        <v>1</v>
      </c>
      <c r="AX215" s="159">
        <f t="shared" si="34"/>
        <v>1</v>
      </c>
      <c r="AY215" s="159">
        <f t="shared" si="34"/>
        <v>1</v>
      </c>
      <c r="AZ215" s="17"/>
    </row>
    <row r="216" spans="1:5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6" t="s">
        <v>284</v>
      </c>
      <c r="AM216" s="176"/>
      <c r="AN216" s="15">
        <f t="shared" ref="AN216:AY216" si="35">($AM193*AN193+$AM194*AN194+$AM195*AN195+$AM196*AN196+$AM197*AN197+$AM198*AN198+$AM199*AN199+$AM200*AN200+$AM201*AN201+$AM202*AN202+$AM203*AN203+$AM204*AN204+$AM205*AN205+$AM206*AN206+$AM208*AN208+$AM209*AN209+$AM210*AN210+$AM211*AN211+$AM212*AN212+$AM213*AN213+$AM214*AN214)/AN215</f>
        <v>12.332250000000004</v>
      </c>
      <c r="AO216" s="15">
        <f t="shared" si="35"/>
        <v>11.13125</v>
      </c>
      <c r="AP216" s="15">
        <f t="shared" si="35"/>
        <v>10.565250000000001</v>
      </c>
      <c r="AQ216" s="15">
        <f t="shared" si="35"/>
        <v>10.873749999999999</v>
      </c>
      <c r="AR216" s="15">
        <f t="shared" si="35"/>
        <v>12.388250000000001</v>
      </c>
      <c r="AS216" s="15">
        <f t="shared" si="35"/>
        <v>11.29125</v>
      </c>
      <c r="AT216" s="15">
        <f t="shared" si="35"/>
        <v>10.63775</v>
      </c>
      <c r="AU216" s="15">
        <f t="shared" si="35"/>
        <v>10.96875</v>
      </c>
      <c r="AV216" s="159">
        <f t="shared" si="35"/>
        <v>12</v>
      </c>
      <c r="AW216" s="159">
        <f t="shared" si="35"/>
        <v>12</v>
      </c>
      <c r="AX216" s="159">
        <f t="shared" si="35"/>
        <v>12</v>
      </c>
      <c r="AY216" s="159">
        <f t="shared" si="35"/>
        <v>12</v>
      </c>
      <c r="AZ216" s="17"/>
    </row>
  </sheetData>
  <sheetProtection password="F798" sheet="1" objects="1" scenarios="1"/>
  <mergeCells count="6">
    <mergeCell ref="AN191:AY191"/>
    <mergeCell ref="AN163:AY163"/>
    <mergeCell ref="AN51:AY51"/>
    <mergeCell ref="AN79:AY79"/>
    <mergeCell ref="AN107:AY107"/>
    <mergeCell ref="AN135:AY135"/>
  </mergeCells>
  <hyperlinks>
    <hyperlink ref="P25" location="Sheet4!A36" display="กลับ"/>
    <hyperlink ref="AA71" location="Sheet4!A36" display="กลับ"/>
    <hyperlink ref="AG76" location="Sheet4!A61" display="พื้นที่ว่าง 1"/>
    <hyperlink ref="E67" location="Sheet4!AM90" display="พื้นที่ว่าง 2"/>
    <hyperlink ref="AI76" location="Sheet4!A7" display="รายการหลัก"/>
    <hyperlink ref="G67" location="Sheet4!A7" display="รายการหลัก"/>
    <hyperlink ref="Z28" location="Sheet4!AD111" display="รายละเอียด"/>
    <hyperlink ref="Z29" location="Sheet4!AD111" display="รายละเอียด"/>
    <hyperlink ref="G46" location="Sheet4!AD28" display="รายละเอียด"/>
    <hyperlink ref="G57" location="Sheet4!AD101" display="รายละเอียด"/>
    <hyperlink ref="G18" location="Sheet4!V4" display="รายละเอียด"/>
    <hyperlink ref="G12" location="Sheet4!M39" display="ต้นทุนผลิตลูกสุกร"/>
    <hyperlink ref="G15" location="Sheet4!M64" display="ต้นทุนผลิตสุกรขุน"/>
    <hyperlink ref="Q29" location="Sheet4!AM4" display="รายละเอียด"/>
    <hyperlink ref="AE51" location="Sheet4!H25" display="กลับ 1.3"/>
    <hyperlink ref="AG51" location="Sheet4!R7" display="กลับ 2.2"/>
    <hyperlink ref="AA16" location="Sheet4!AO4" display="รายละเอียด"/>
    <hyperlink ref="AA17" location="Sheet4!AO4" display="รายละเอียด"/>
    <hyperlink ref="AA18" location="Sheet4!AO4" display="รายละเอียด"/>
    <hyperlink ref="Q45" location="Sheet4!AO4" display="รายละเอียด"/>
    <hyperlink ref="G19" location="Sheet4!W52" display="รายละเอียด"/>
    <hyperlink ref="P37" location="Sheet4!A13" display="กลับ"/>
    <hyperlink ref="Z31" location="Sheet4!A64" display="กลับ"/>
    <hyperlink ref="G45" location="Sheet4!AF22" display="รายละเอียด"/>
    <hyperlink ref="Z39" location="Sheet4!A64" display="กลับ"/>
    <hyperlink ref="Z46" location="Sheet4!A38" display="กลับ"/>
    <hyperlink ref="G47" location="Sheet4!AF37" display="รายละเอียด"/>
    <hyperlink ref="AA57" location="Sheet4!A38" display="กลับ"/>
    <hyperlink ref="G48" location="Sheet4!AF70" display="รายละเอียด"/>
    <hyperlink ref="G49" location="Sheet4!AF81" display="รายละเอียด"/>
    <hyperlink ref="AA67" location="Sheet4!A38" display="กลับ"/>
    <hyperlink ref="G50" location="Sheet4!AF90" display="รายละเอียด"/>
    <hyperlink ref="AA79" location="Sheet4!A38" display="กลับ"/>
    <hyperlink ref="AA86" location="Sheet4!A38" display="กลับ"/>
    <hyperlink ref="G51" location="Sheet4!AF89" display="รายละเอียด"/>
    <hyperlink ref="G20" location="Sheet4!W52" display="รายละเอียด"/>
    <hyperlink ref="G21" location="Sheet4!W66" display="รายละเอียด"/>
    <hyperlink ref="P48" location="Sheet4!A13" display="กลับ"/>
    <hyperlink ref="P60" location="Sheet4!A13" display="กลับ"/>
    <hyperlink ref="G22" location="Sheet4!W75" display="รายละเอียด"/>
    <hyperlink ref="P69" location="Sheet4!A13" display="กลับ"/>
    <hyperlink ref="G23" location="Sheet4!W87" display="รายละเอียด"/>
    <hyperlink ref="P77" location="Sheet4!A13" display="กลับ"/>
    <hyperlink ref="G24" location="Sheet4!W96" display="รายละเอียด"/>
    <hyperlink ref="P88" location="Sheet4!A13" display="กลับ"/>
    <hyperlink ref="G25" location="Sheet4!W104" display="รายละเอียด"/>
    <hyperlink ref="P98" location="Sheet4!A13" display="กลับ"/>
    <hyperlink ref="G26" location="Sheet4!W115" display="รายละเอียด"/>
    <hyperlink ref="P106" location="Sheet4!A13" display="กลับ"/>
    <hyperlink ref="P114" location="Sheet4!A13" display="กลับ"/>
    <hyperlink ref="P124" location="Sheet4!A13" display="กลับ"/>
    <hyperlink ref="G27" location="Sheet4!W125" display="รายละเอียด"/>
    <hyperlink ref="G28" location="Sheet4!W133" display="รายละเอียด"/>
    <hyperlink ref="G35" location="Sheet4!W141" display="รายละเอียด"/>
    <hyperlink ref="P16" location="Sheet4!A39" display="กลับ"/>
    <hyperlink ref="G40" location="Sheet4!A14" display="ต้นทุนผลิตลุกสุกร"/>
    <hyperlink ref="G43" location="Sheet4!AF4" display="รายละเอียด"/>
    <hyperlink ref="Z24" location="Sheet4!A64" display="กลับ"/>
    <hyperlink ref="AI4" location="Sheet4!AZ77" display="คลังสูตรอาหาร"/>
    <hyperlink ref="AZ52" location="Sheet4!AK105" display="สุกรรุ่น/ขุน"/>
    <hyperlink ref="AK38" location="Sheet4!AB4" display="ขึ้นบน"/>
    <hyperlink ref="AK18" location="Sheet4!AB54" display="ลงล่าง"/>
    <hyperlink ref="AZ66" location="Sheet4!AB4" display="กลับ"/>
    <hyperlink ref="AZ93" location="Sheet4!AB4" display="กลับ"/>
    <hyperlink ref="AZ121" location="Sheet4!AB4" display="กลับ"/>
    <hyperlink ref="AZ149" location="Sheet4!AB4" display="กลับ"/>
    <hyperlink ref="AZ176" location="Sheet4!AB4" display="กลับ"/>
    <hyperlink ref="AZ205" location="Sheet4!AB4" display="กลับ"/>
    <hyperlink ref="AZ112" location="Sheet4!AK161" display="สุกรขุน"/>
    <hyperlink ref="AZ114" location="Sheet4!AK190" display="อุ้มท้อง"/>
    <hyperlink ref="AZ116" location="Sheet4!AK218" display="เลี้ยงลูก"/>
    <hyperlink ref="AZ54" location="Sheet4!AK133" display="สุกรรุ่น"/>
    <hyperlink ref="AZ80" location="Sheet4!AK51" display="สุกรอนุบาล"/>
    <hyperlink ref="AZ82" location="Sheet4!AK133" display="สุกรรุ่น"/>
    <hyperlink ref="AZ84" location="Sheet4!AK161" display="สุกรขุน"/>
    <hyperlink ref="AZ86" location="Sheet4!AK190" display="อุ้มท้อง"/>
    <hyperlink ref="AZ88" location="Sheet4!AK218" display="เลี้ยงลูก"/>
    <hyperlink ref="AZ108" location="Sheet4!AK51" display="สุกรอนุบาล"/>
    <hyperlink ref="AZ136" location="Sheet4!AK51" display="สุกรอนุบาล"/>
    <hyperlink ref="AZ164" location="Sheet4!AK51" display="สุกรอนุบาล"/>
    <hyperlink ref="AZ192" location="Sheet4!AK51" display="สุกรอนุบาล"/>
    <hyperlink ref="AZ196" location="Sheet4!AK133" display="สุกรรุ่น"/>
    <hyperlink ref="AZ140" location="Sheet4!AK107" display="สุกรรุ่น"/>
    <hyperlink ref="AZ168" location="Sheet4!AK107" display="สุกรรุ่น"/>
    <hyperlink ref="AZ138" location="Sheet4!AK75" display="สุกรรุ่น/ขุน"/>
    <hyperlink ref="AZ110" location="Sheet4!AK79" display="สุกรเล็ก"/>
    <hyperlink ref="AZ56" location="Sheet4!AK161" display="สุกรขุน"/>
    <hyperlink ref="AZ166" location="Sheet4!AK79" display="สุกรเล็ก"/>
    <hyperlink ref="AZ194" location="Sheet4!AK79" display="สุกรเล็ก"/>
    <hyperlink ref="AZ170" location="Sheet4!AK135" display="สุกรขุน"/>
    <hyperlink ref="AZ198" location="Sheet4!AK135" display="สุกรขุน"/>
    <hyperlink ref="AZ144" location="Sheet4!AK217" display="เลี้ยงลูก"/>
    <hyperlink ref="AZ200" location="Sheet4!AK163" display="อุ้มท้อง"/>
    <hyperlink ref="AZ172" location="Sheet4!AK217" display="เลี้ยงลูก"/>
    <hyperlink ref="AZ60" location="Sheet4!AK217" display="เลี้ยงลูก"/>
    <hyperlink ref="AZ58" location="Sheet4!AK189" display="อุ้มท้อง"/>
    <hyperlink ref="L160" location="Sheet4!H49" display="กลับ"/>
    <hyperlink ref="AD45" location="Sheet4!AO80" display="รายละเอียด"/>
    <hyperlink ref="AH73" location="Sheet4!AB28" display="กลับ"/>
    <hyperlink ref="AH51" location="Sheet4!AZ5" display="วัตถุดิบอาหาร"/>
    <hyperlink ref="AJ51" location="Sheet4!AZ77" display="คลังสูตรอาหาร"/>
    <hyperlink ref="O52" location="Sheet4!H156" display="รายละเอียด"/>
    <hyperlink ref="O53" location="Sheet4!H156" display="รายละเอียด"/>
    <hyperlink ref="O57" location="Sheet4!H168" display="รายละเอียด"/>
    <hyperlink ref="O58" location="Sheet4!H168" display="รายละเอียด"/>
    <hyperlink ref="O137" location="Sheet4!H49" display="กลับ"/>
    <hyperlink ref="O135" location="Sheet4!H170" display="ยา/วัคซีนลูกสุกร"/>
    <hyperlink ref="O152" location="Sheet4!H49" display="กลับ"/>
    <hyperlink ref="O149" location="Sheet4!H130" display="ยา/วัคซีนแม่สุกร"/>
    <hyperlink ref="Z96" location="Sheet4!R22" display="กลับ"/>
    <hyperlink ref="AZ142" location="Sheet4!AK189" display="อุ้มท้อง"/>
    <hyperlink ref="AF51" location="Sheet4!H66" display="กลับ 1.4"/>
    <hyperlink ref="AC4" location="Sheet4!A39" display="รายการหลัก"/>
    <hyperlink ref="AC51" location="Sheet4!A13" display="รายการหลัก"/>
    <hyperlink ref="Z10" location="Sheet4!A64" display="กลับ"/>
    <hyperlink ref="Q30" location="Sheet4!AM4" display="รายละเอียด"/>
    <hyperlink ref="Q31" location="Sheet4!AM4" display="รายละเอียด"/>
    <hyperlink ref="Q32" location="Sheet4!AM4" display="รายละเอียด"/>
    <hyperlink ref="AE4" location="Sheet4!H65" display="กลับ 1.4"/>
    <hyperlink ref="G44" location="Sheet4!AF11" display="รายละเอียด"/>
    <hyperlink ref="AF4" location="Sheet4!R37" display="กลับ 2.2"/>
    <hyperlink ref="AD4" location="Sheet4!H52" display="กลับ 1.3"/>
    <hyperlink ref="AG4" location="Sheet4!AX29" display="วัตถุดิบอาหาร"/>
    <hyperlink ref="AW16" location="Sheet4!AB4" display="กลับ"/>
    <hyperlink ref="AW23" location="Sheet4!AI46" display="วัตถุดิบอาหารสำรอง"/>
    <hyperlink ref="AW38" location="Sheet4!AI4" display="ขึ้นบน"/>
  </hyperlinks>
  <pageMargins left="0.70866141732283472" right="0.31496062992125984" top="0.74803149606299213" bottom="0.74803149606299213" header="0.31496062992125984" footer="0.31496062992125984"/>
  <pageSetup paperSize="9" scale="90" orientation="portrait" r:id="rId1"/>
  <rowBreaks count="2" manualBreakCount="2">
    <brk id="46" min="28" max="35" man="1"/>
    <brk id="103" min="8" max="16" man="1"/>
  </rowBreaks>
  <colBreaks count="3" manualBreakCount="3">
    <brk id="7" max="215" man="1"/>
    <brk id="17" max="1048575" man="1"/>
    <brk id="36" max="1048575" man="1"/>
  </colBreaks>
  <ignoredErrors>
    <ignoredError sqref="AG8:AJ8 AG29 AG9 AG10 AG11 AG12 AG13 AG14 AG15 AG16 AG17 AG18 AG19 AG20 AG21 AG22 AG23 AG24 AG25 AG26 AG27 AG28 AH9:AJ29" unlockedFormula="1"/>
    <ignoredError sqref="AN75:AY75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gopp</cp:lastModifiedBy>
  <cp:lastPrinted>2011-02-16T05:30:43Z</cp:lastPrinted>
  <dcterms:created xsi:type="dcterms:W3CDTF">2009-06-11T03:52:57Z</dcterms:created>
  <dcterms:modified xsi:type="dcterms:W3CDTF">2011-02-19T04:43:36Z</dcterms:modified>
</cp:coreProperties>
</file>